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2"/>
  </bookViews>
  <sheets>
    <sheet name="прил.6" sheetId="1" r:id="rId1"/>
    <sheet name="прил.7" sheetId="2" r:id="rId2"/>
    <sheet name="прил.8" sheetId="3" r:id="rId3"/>
  </sheets>
  <definedNames>
    <definedName name="_xlnm.Print_Titles" localSheetId="0">'прил.6'!$25:$26</definedName>
    <definedName name="_xlnm.Print_Titles" localSheetId="1">'прил.7'!$17:$17</definedName>
    <definedName name="_xlnm.Print_Titles" localSheetId="2">'прил.8'!$17:$17</definedName>
    <definedName name="_xlnm.Print_Area" localSheetId="0">'прил.6'!$A$2:$H$86</definedName>
    <definedName name="_xlnm.Print_Area" localSheetId="1">'прил.7'!$A$1:$K$781</definedName>
    <definedName name="_xlnm.Print_Area" localSheetId="2">'прил.8'!$A$1:$K$1184</definedName>
  </definedNames>
  <calcPr fullCalcOnLoad="1"/>
</workbook>
</file>

<file path=xl/sharedStrings.xml><?xml version="1.0" encoding="utf-8"?>
<sst xmlns="http://schemas.openxmlformats.org/spreadsheetml/2006/main" count="8227" uniqueCount="867">
  <si>
    <t xml:space="preserve">   Строительство детского сада  № 21 в 112 мкр. (субсидии на капитальные вложения)</t>
  </si>
  <si>
    <t xml:space="preserve">от 07.12.2010 № 203  </t>
  </si>
  <si>
    <t xml:space="preserve">от 07.12.2010 № 203 </t>
  </si>
  <si>
    <t xml:space="preserve">  Субсидии  на реализацию долгосрочной целевой программы "Здоровое  школьное  питание  на 2009-2015 годы"</t>
  </si>
  <si>
    <t>Субсидии на реализацию долгосрочной целевой программы "Развитие библиотечного дела в Вологодской области на 2009-2011 годы"</t>
  </si>
  <si>
    <t xml:space="preserve"> Мероприятия в сфере культуры, кинематографии и средств массовой информации</t>
  </si>
  <si>
    <t xml:space="preserve">   Пристройка к зданию МУК "ГДК "Аммофос" (субсидии на капитальные вложения)</t>
  </si>
  <si>
    <t xml:space="preserve">   Строительство объектов общегражданского назначения</t>
  </si>
  <si>
    <t xml:space="preserve">   Строительство пристройки к зданию МУК "ГДК "Аммофос"</t>
  </si>
  <si>
    <t xml:space="preserve">  "Экология города" на 2009-2015 годы</t>
  </si>
  <si>
    <t xml:space="preserve">  Субсидии на финансовое обеспечение оказания дополнительной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</si>
  <si>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"Спортивный город" на 2009-2011 годы</t>
  </si>
  <si>
    <t>"Экология города" на 2009-2015 годы</t>
  </si>
  <si>
    <t>431 99 00</t>
  </si>
  <si>
    <t>431 95 00</t>
  </si>
  <si>
    <t xml:space="preserve">Итого расходов </t>
  </si>
  <si>
    <t>Изменения</t>
  </si>
  <si>
    <t>Бюджет от 07.12.2011 № 203</t>
  </si>
  <si>
    <t xml:space="preserve">   Мероприятия по поддержке и развитию культуры, искусства, кинематографии, средств массовой информации и архивного дела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</si>
  <si>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</si>
  <si>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</si>
  <si>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</si>
  <si>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</si>
  <si>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</si>
  <si>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</si>
  <si>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</si>
  <si>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</si>
  <si>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</si>
  <si>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</si>
  <si>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</si>
  <si>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 xml:space="preserve">  Городские мероприятия в области социальной политики  </t>
  </si>
  <si>
    <t>476 95 00</t>
  </si>
  <si>
    <t>477 95 00</t>
  </si>
  <si>
    <t>102 02 00</t>
  </si>
  <si>
    <t xml:space="preserve"> 05 </t>
  </si>
  <si>
    <t>102 02 02</t>
  </si>
  <si>
    <t>102 02 01</t>
  </si>
  <si>
    <t>102 02 09</t>
  </si>
  <si>
    <t xml:space="preserve">   Бюджетные инвестиции в объекты капитального строительства, не включенные в целевые программы</t>
  </si>
  <si>
    <t>102 02 03</t>
  </si>
  <si>
    <t>102 02 10</t>
  </si>
  <si>
    <t>102 02 05</t>
  </si>
  <si>
    <t>102 02 06</t>
  </si>
  <si>
    <t>102 02 07</t>
  </si>
  <si>
    <t>102 02 08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</si>
  <si>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</si>
  <si>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501</t>
  </si>
  <si>
    <t xml:space="preserve">   Функционирование органов в сфере национальной безопасности, правоохранительной деятельности и обороны</t>
  </si>
  <si>
    <t xml:space="preserve">  Военный персонал</t>
  </si>
  <si>
    <t>003</t>
  </si>
  <si>
    <t>514 02 00</t>
  </si>
  <si>
    <t>514 02 01</t>
  </si>
  <si>
    <t>514 02 02</t>
  </si>
  <si>
    <t>Обеспечение публичных нормативных обязательств города</t>
  </si>
  <si>
    <t xml:space="preserve"> Постановление Череповецкой городской Думы от 27.09.2005 № 87 "О Положении о звании "Почетный гражданин города Череповца"</t>
  </si>
  <si>
    <t xml:space="preserve">   Постановление Череповецкой городской Думы от 27.09.2005 № 88 "О Положении о Почетном знаке "За особые заслуги перед городом Череповцом"</t>
  </si>
  <si>
    <t>Средства массовой информации</t>
  </si>
  <si>
    <t xml:space="preserve"> Субсидии на реализацию целевой программы дополнительных мероприятий, направленных на снижение напряженности на рынке труда Вологодской области, в 2011 году </t>
  </si>
  <si>
    <t xml:space="preserve">  Субсидии на реализацию дополнительных мероприятий, направленных на снижение напряженности на рынке труда субъектов Российской Федерации </t>
  </si>
  <si>
    <t xml:space="preserve">  Субсидии на реализацию долгосрочной целевой муниципальной программы развития малого и среднего предпринимательства в городе Череповце на 2009-2012 годы</t>
  </si>
  <si>
    <t xml:space="preserve">  Субсидии на реализацию долгосрочной целевой программы "Развитие малого и среднего предпринимательства в Вологодской области на 2009-2012 годы"</t>
  </si>
  <si>
    <t>Транспорт</t>
  </si>
  <si>
    <t xml:space="preserve">   Субсидии некоммерческим организациям в области жилищно-коммунального хозяйства</t>
  </si>
  <si>
    <t xml:space="preserve">   Выполнение функций бюджетными учреждениями</t>
  </si>
  <si>
    <t>805</t>
  </si>
  <si>
    <t>Общегосударственные вопросы</t>
  </si>
  <si>
    <t>920</t>
  </si>
  <si>
    <t xml:space="preserve"> Строительство медицинского комплекса амбулаторного обслуживания населения в 8 мкр</t>
  </si>
  <si>
    <t xml:space="preserve"> Строительство детского сада  № 21 в 112 мкр. </t>
  </si>
  <si>
    <t>Капитальный ремонт здания по Северному шоссе,67</t>
  </si>
  <si>
    <t xml:space="preserve">  Реализация функций, связанных с общегосударственным управлением</t>
  </si>
  <si>
    <t xml:space="preserve">  Выполнение других обязательств органов местного самоуправления</t>
  </si>
  <si>
    <t xml:space="preserve">  Ведомственные целевые программы</t>
  </si>
  <si>
    <t>Условно утверждаемые расходы</t>
  </si>
  <si>
    <t>Всего расходов</t>
  </si>
  <si>
    <t xml:space="preserve">  Государственная автоматизированная информационная система "Выборы", повышение правовой культуры избирателей и обучение организаторов выборов </t>
  </si>
  <si>
    <t>020 04 00</t>
  </si>
  <si>
    <t>020 00 00</t>
  </si>
  <si>
    <t>525 02 00</t>
  </si>
  <si>
    <t>Осуществление отдельных государственных полномочий</t>
  </si>
  <si>
    <t>525 00 00</t>
  </si>
  <si>
    <t>525 04 00</t>
  </si>
  <si>
    <t>522 11 00</t>
  </si>
  <si>
    <t>525 01 00</t>
  </si>
  <si>
    <t>477 03 00</t>
  </si>
  <si>
    <t>522 32 18</t>
  </si>
  <si>
    <t xml:space="preserve">Осуществление отдельных государственных полномочий в сфере образования </t>
  </si>
  <si>
    <t>525 01 01</t>
  </si>
  <si>
    <t xml:space="preserve"> Функционирование высшего должностного лица субъекта Российской Федерации и муниципального образования</t>
  </si>
  <si>
    <t>425 00 00</t>
  </si>
  <si>
    <t>425 99 00</t>
  </si>
  <si>
    <t>Начальное профессиональное образование</t>
  </si>
  <si>
    <t xml:space="preserve"> Профессионально-технические училища</t>
  </si>
  <si>
    <t xml:space="preserve">  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</si>
  <si>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</si>
  <si>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</si>
  <si>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</si>
  <si>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</si>
  <si>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   Центральный аппарат</t>
  </si>
  <si>
    <t>521 00 00</t>
  </si>
  <si>
    <t xml:space="preserve">  Функционирование органов в сфере национальной безопасности и правоохранительной деятельности</t>
  </si>
  <si>
    <t xml:space="preserve"> Вещевое обеспечение</t>
  </si>
  <si>
    <t xml:space="preserve">   Пособия и компенсации военнослужащим,  приравненным к ним лицам, а также уволенным из их числа</t>
  </si>
  <si>
    <t xml:space="preserve">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</si>
  <si>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068</t>
  </si>
  <si>
    <t xml:space="preserve"> Театры, цирки, концертные и другие организации исполнительских искусств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</si>
  <si>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</si>
  <si>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</si>
  <si>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</si>
  <si>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</si>
  <si>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</si>
  <si>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</si>
  <si>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</si>
  <si>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</si>
  <si>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</si>
  <si>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</si>
  <si>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</si>
  <si>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</si>
  <si>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 xml:space="preserve"> Межбюджетные трансферты</t>
  </si>
  <si>
    <t xml:space="preserve"> Детские дошкольные учреждения</t>
  </si>
  <si>
    <t>102 01 00</t>
  </si>
  <si>
    <t>917</t>
  </si>
  <si>
    <t>505 34 01</t>
  </si>
  <si>
    <t xml:space="preserve">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</si>
  <si>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 Обеспечение мер социальной поддержки реабилитированных лиц  и лиц, признанных пострадавшими от политических репрессий (за счет субвенций)</t>
  </si>
  <si>
    <t xml:space="preserve">  Городские мероприятия в области социальной политики</t>
  </si>
  <si>
    <t>901</t>
  </si>
  <si>
    <t xml:space="preserve">   Жилой дом № 30 в 106 мкр (субсидии на капитальные вложения)</t>
  </si>
  <si>
    <t>902</t>
  </si>
  <si>
    <t xml:space="preserve">102 01 02 </t>
  </si>
  <si>
    <t>903</t>
  </si>
  <si>
    <t>904</t>
  </si>
  <si>
    <t>905</t>
  </si>
  <si>
    <t>906</t>
  </si>
  <si>
    <t>907</t>
  </si>
  <si>
    <t>911</t>
  </si>
  <si>
    <t>912</t>
  </si>
  <si>
    <t>913</t>
  </si>
  <si>
    <t>914</t>
  </si>
  <si>
    <t>915</t>
  </si>
  <si>
    <t>916</t>
  </si>
  <si>
    <t xml:space="preserve">   Субсидии на поддержку и развитие физической культуры и спорта</t>
  </si>
  <si>
    <t>520 21 00</t>
  </si>
  <si>
    <t>520 18 00</t>
  </si>
  <si>
    <t>522 18 00</t>
  </si>
  <si>
    <t>Социальная помощь</t>
  </si>
  <si>
    <t>505 46 00</t>
  </si>
  <si>
    <t xml:space="preserve">  Возмещение затрат на обеспечение теплоснабжения объектов недвижимости, расположенных на территории города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</si>
  <si>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</si>
  <si>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</si>
  <si>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</si>
  <si>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 xml:space="preserve">  Межбюджетные трансферты по решению Череповецкой городской Думы от 30.09.2008 № 100 "О заключении соглашения о межмуниципальном сотрудничестве в сфере охраны здоровья населения"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</si>
  <si>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              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</si>
  <si>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 xml:space="preserve"> 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             № 714 "Об обеспечении жильем ветеранов Великой Отечественной войны 1941 - 1945 годов" (за счет субвенций)</t>
  </si>
  <si>
    <t xml:space="preserve">  Постановление Череповецкой городской Думы от 27.09.2005 № 87                      "О Положении о звании "Почетный гражданин города Череповца"</t>
  </si>
  <si>
    <t xml:space="preserve">   Постановление Череповецкой городской Думы от 27.09.2005 № 88                     "О Положении о Почетном знаке "За особые заслуги перед городом Череповцом"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</si>
  <si>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                         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</si>
  <si>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                    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</si>
  <si>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>УПРАВЛЕНИЕ АРХИТЕКТУРЫ И ГРАДОСТРОИТЕЛЬСТВА МЭРИИ ГОРОДА</t>
  </si>
  <si>
    <t>УПРАВЛЕНИЕ ОБРАЗОВАНИЯ МЭРИИ ГОРОДА</t>
  </si>
  <si>
    <t>УПРАВЛЕНИЕ ЗДРАВООХРАНЕНИЯ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</si>
  <si>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</si>
  <si>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</si>
  <si>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</si>
  <si>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</si>
  <si>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 xml:space="preserve"> КОМИТЕТ ПО КОНТРОЛЮ В СФЕРЕ БЛАГОУСТРОЙСТВА И ОХРАНЫ ОКРУЖАЮЩЕЙ СРЕДЫ ГОРОДА</t>
  </si>
  <si>
    <t>УПРАВЛЕНИЕ КАПИТАЛЬНОГО СТРОИТЕЛЬСТВА И РЕМОНТОВ МЭРИИ ГОРОДА</t>
  </si>
  <si>
    <t xml:space="preserve">  КАПИТАЛЬНЫЕ РЕМОНТЫ</t>
  </si>
  <si>
    <t xml:space="preserve">  КАПИТАЛЬНОЕ СТРОИТЕЛЬСТВО</t>
  </si>
  <si>
    <t>Реализация государственной политики в области приватизации и управления муниципальной собственностью</t>
  </si>
  <si>
    <t xml:space="preserve">  Осуществление отдельных государственных полномочий в сфере архивного дела (за счет субвенций) </t>
  </si>
  <si>
    <t xml:space="preserve">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</si>
  <si>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 xml:space="preserve">  Оплата жилищно-коммунальных услуг отдельным категориям граждан (за счет субвенций)</t>
  </si>
  <si>
    <t xml:space="preserve">  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</si>
  <si>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 xml:space="preserve">  Составление (изменение и дополнение) списков кандидатов в присяжные заседатели федеральных судов общей юрисдикции в Российской Федерации (за счет субвенций)   </t>
  </si>
  <si>
    <t xml:space="preserve">  Составление (изменение и дополнение) списков кандидатов в присяжные заседатели федеральных судов общей юрисдикции в Российской Федерации (за счет субвенций) </t>
  </si>
  <si>
    <t xml:space="preserve"> 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(за счет субвенций)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</si>
  <si>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</si>
  <si>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 xml:space="preserve">  Удешевление стоимости путевок на санаторно-курортное лечение работников бюджетной сферы области (за счет субсидий)</t>
  </si>
  <si>
    <t xml:space="preserve">  Малое и среднее предпринимательство</t>
  </si>
  <si>
    <t xml:space="preserve">  Субсидии на государственную поддержку малого и среднего предпринимательства, включая крестьянские (фермерские) хозяйства</t>
  </si>
  <si>
    <t xml:space="preserve"> Совершенствование организации питания учащихся в общеобразовательных учреждениях</t>
  </si>
  <si>
    <t xml:space="preserve">  Ежемесячное денежное вознаграждение за классное руководство (за счет субвенций)</t>
  </si>
  <si>
    <t xml:space="preserve">  Долгосрочная целевая программа "Организация отдыха детей, их оздоровления и занятости в Вологодской области на 2009-2014 годы" (за счет субсидий)</t>
  </si>
  <si>
    <t xml:space="preserve">  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</si>
  <si>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 xml:space="preserve">  Организация и проведение аттестации педагогических работников муниципальных образовательных учреждений на первую и вторую квалификационные категории (за счет субвенций)</t>
  </si>
  <si>
    <t xml:space="preserve">  Организация и осуществление деятельности по опеке и попечительству в отношении несовершеннолетних (за счет субвенций)</t>
  </si>
  <si>
    <t xml:space="preserve">  Реализация государственной политики в области приватизации и управления муниципальной собственностью</t>
  </si>
  <si>
    <t>Приложение 13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</si>
  <si>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</si>
  <si>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Приложение 15</t>
  </si>
  <si>
    <t xml:space="preserve"> Воинские формирования </t>
  </si>
  <si>
    <t xml:space="preserve"> Иные безвозмездные и безвозвратные перечисления</t>
  </si>
  <si>
    <t>022</t>
  </si>
  <si>
    <t>Общее образование</t>
  </si>
  <si>
    <t>Другие вопросы в области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</si>
  <si>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</si>
  <si>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Субсидии на обеспечение мероприятий по капитальному ремонту многоквартирных домов, за счет безвозмездных поступлений от государственной корпорации "Фонд содействия реформированию жилищно-коммунального хозяйства"</t>
  </si>
  <si>
    <t xml:space="preserve">  Капитальный ремонт муниципального жилищного фонда</t>
  </si>
  <si>
    <t xml:space="preserve"> Строительство объектов общегражданского назначения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</si>
  <si>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</si>
  <si>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</si>
  <si>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</si>
  <si>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</si>
  <si>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102 02 17</t>
  </si>
  <si>
    <t>ОБРАЗОВАНИЕ</t>
  </si>
  <si>
    <t>Реализация государственных функций в области социальной политики</t>
  </si>
  <si>
    <t>098 00 00</t>
  </si>
  <si>
    <t>098 01 01</t>
  </si>
  <si>
    <t>098 02 01</t>
  </si>
  <si>
    <t>470 00 00</t>
  </si>
  <si>
    <t>470 99 00</t>
  </si>
  <si>
    <t>476 00 00</t>
  </si>
  <si>
    <t>476 99 00</t>
  </si>
  <si>
    <t>471 00 00</t>
  </si>
  <si>
    <t>471 99 00</t>
  </si>
  <si>
    <t>477 00 00</t>
  </si>
  <si>
    <t>477 99 00</t>
  </si>
  <si>
    <t>474 00 00</t>
  </si>
  <si>
    <t>474 99 00</t>
  </si>
  <si>
    <t>469 00 00</t>
  </si>
  <si>
    <t>469 99 00</t>
  </si>
  <si>
    <t xml:space="preserve"> 09 </t>
  </si>
  <si>
    <t xml:space="preserve"> Выполнение функций государственными органами</t>
  </si>
  <si>
    <t>065 00 00</t>
  </si>
  <si>
    <t>065 03 00</t>
  </si>
  <si>
    <t xml:space="preserve">  Процентные платежи по муниципальному долгу</t>
  </si>
  <si>
    <t xml:space="preserve">   Прочие расходы</t>
  </si>
  <si>
    <t xml:space="preserve">  Учреждения по внешкольной работе с детьми</t>
  </si>
  <si>
    <t xml:space="preserve">    Выполнение функций бюджетными учреждениями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</si>
  <si>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</si>
  <si>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</si>
  <si>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</si>
  <si>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</si>
  <si>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</si>
  <si>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</si>
  <si>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</si>
  <si>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 xml:space="preserve">  Обеспечение жильем отдельных категорий граждан, установленных Федеральными законами от 12 января 1995 года № 5-ФЗ "О ветеранах" и                          от 24 ноября 1995 года № 181-ФЗ "О социальной защите инвалидов в Российской Федерации" (за счет субвенций)</t>
  </si>
  <si>
    <t>к решению Череповецкой</t>
  </si>
  <si>
    <t xml:space="preserve">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</si>
  <si>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 Жилищное хозяйство</t>
  </si>
  <si>
    <t>521 01 18</t>
  </si>
  <si>
    <t xml:space="preserve"> Субсидии на обеспечение выплат стимулирующего характера работникам муниципальных учреждений здравоохранения</t>
  </si>
  <si>
    <t>524 14 00</t>
  </si>
  <si>
    <t>520 13 00</t>
  </si>
  <si>
    <t>524 00 00</t>
  </si>
  <si>
    <t>443 00 00</t>
  </si>
  <si>
    <t>443 99 00</t>
  </si>
  <si>
    <t>450 00 00</t>
  </si>
  <si>
    <t xml:space="preserve"> Государственная поддержка в сфере культуры, кинематографии, средств массовой информации</t>
  </si>
  <si>
    <t>450 85 00</t>
  </si>
  <si>
    <t xml:space="preserve">  Мероприятия по поддержке и развитию культуры, искусства, кинематографии, средств массовой информации и архивного дела</t>
  </si>
  <si>
    <t>512 00 00</t>
  </si>
  <si>
    <t>512 97 00</t>
  </si>
  <si>
    <t xml:space="preserve"> Социальное обслуживание населения</t>
  </si>
  <si>
    <t xml:space="preserve">  Строительство мостового перехода через р. Шексну в створе ул. Архангельской</t>
  </si>
  <si>
    <t>525 03 00</t>
  </si>
  <si>
    <t>525 07 00</t>
  </si>
  <si>
    <t>Охрана объектов растительного и животного мира и среды их обитания</t>
  </si>
  <si>
    <t xml:space="preserve">  Мероприятия в области социальной политики  </t>
  </si>
  <si>
    <t>002 29 00</t>
  </si>
  <si>
    <t xml:space="preserve">  Обеспечение приватизации и проведение предпродажной подготовки объектов приватизации</t>
  </si>
  <si>
    <t>090 00 00</t>
  </si>
  <si>
    <t xml:space="preserve">   Фонд компенсаций (за счет субвенций)</t>
  </si>
  <si>
    <t>090 02 00</t>
  </si>
  <si>
    <t>330 00 00</t>
  </si>
  <si>
    <t>330 99 00</t>
  </si>
  <si>
    <t>Охрана окружающей среды</t>
  </si>
  <si>
    <t xml:space="preserve"> Бюджетные инвестиции в объекты капитального строительства, не включенные в целевые программы</t>
  </si>
  <si>
    <t xml:space="preserve">   Реконструкция мостового перехода через реку Ягорбу по пр.Победы (субсидии на капитальные вложения)</t>
  </si>
  <si>
    <t xml:space="preserve">  Бюджетные инвестиции в объекты капитального строительства собственности муниципальных образований </t>
  </si>
  <si>
    <t xml:space="preserve">    Бюджетные инвестиции </t>
  </si>
  <si>
    <t>202 00 00</t>
  </si>
  <si>
    <t>202 01 00</t>
  </si>
  <si>
    <t>НАЦИОНАЛЬНАЯ БЕЗОПАСНОСТЬ И ПРАВООХРАНИТЕЛЬНАЯ  ДЕЯТЕЛЬНОСТЬ</t>
  </si>
  <si>
    <t>012</t>
  </si>
  <si>
    <t xml:space="preserve">  Выполнение функций государственными органами</t>
  </si>
  <si>
    <t>500</t>
  </si>
  <si>
    <t>"Здоровый город" на 2009-2015 годы</t>
  </si>
  <si>
    <t xml:space="preserve">  "Здоровый город" на 2009-2015 годы</t>
  </si>
  <si>
    <t>360 00 00</t>
  </si>
  <si>
    <t>360 01 00</t>
  </si>
  <si>
    <t>001 43 00</t>
  </si>
  <si>
    <t xml:space="preserve"> 505 46 00 </t>
  </si>
  <si>
    <t xml:space="preserve">  Мероприятия в области социальной политики</t>
  </si>
  <si>
    <t>521 01 01</t>
  </si>
  <si>
    <t xml:space="preserve"> Мероприятия по проведению оздоровительной кампании детей</t>
  </si>
  <si>
    <t xml:space="preserve"> Поддержка жилищного хозяйства</t>
  </si>
  <si>
    <t>522 40 00</t>
  </si>
  <si>
    <t xml:space="preserve"> Прочие мероприятия по благоустройству</t>
  </si>
  <si>
    <t>Культура и кинематография</t>
  </si>
  <si>
    <t xml:space="preserve">Здравоохранение </t>
  </si>
  <si>
    <t xml:space="preserve">Культура и кинематография </t>
  </si>
  <si>
    <t xml:space="preserve">Физическая культура </t>
  </si>
  <si>
    <t>Здравоохранение</t>
  </si>
  <si>
    <t xml:space="preserve"> 02 </t>
  </si>
  <si>
    <t xml:space="preserve">Другие вопросы в области культуры, кинематографии </t>
  </si>
  <si>
    <t xml:space="preserve">  Мероприятия в области спорта и физической культуры, туризма</t>
  </si>
  <si>
    <t xml:space="preserve"> 102 01 02 </t>
  </si>
  <si>
    <t xml:space="preserve">   Набережная от Октябрьского моста до мостового перехода через р. Ягорба (субсидии на капитальные вложения)</t>
  </si>
  <si>
    <t xml:space="preserve">  Субсидии на капитальные вложения в рамках реализации долгосрочной целевой программы "Инвестиции в объекты капитального строительства на 2010-2012 гг."</t>
  </si>
  <si>
    <t>Управление внутренних дел по городу Череповцу</t>
  </si>
  <si>
    <t xml:space="preserve">  Обеспечение мероприятий по капитальному ремонту многоквартирных домов за счет средств городского бюджета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</si>
  <si>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</si>
  <si>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</si>
  <si>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Другие вопросы в области национальной безопасности и правоохранительной деятельности</t>
  </si>
  <si>
    <t xml:space="preserve"> Реализация государственных функций в области  национальной экономики</t>
  </si>
  <si>
    <t xml:space="preserve"> Молодежная политика и оздоровление детей</t>
  </si>
  <si>
    <t>795 01 08</t>
  </si>
  <si>
    <t>"Обеспечение жильем молодых семей" на 2011-2013 годы</t>
  </si>
  <si>
    <t>317 00 00</t>
  </si>
  <si>
    <t>317 01 00</t>
  </si>
  <si>
    <t xml:space="preserve"> Другие виды транспорта</t>
  </si>
  <si>
    <t xml:space="preserve"> "Экология города" на 2009-2015 годы</t>
  </si>
  <si>
    <t>Культура</t>
  </si>
  <si>
    <t xml:space="preserve"> Музеи и постоянные выставки</t>
  </si>
  <si>
    <t xml:space="preserve">    Мероприятия по поддержке и развитию культуры, искусства, кинематографии, средств массовой информации и архивного дела</t>
  </si>
  <si>
    <t xml:space="preserve">     Субсидии некоммерческим организациям
</t>
  </si>
  <si>
    <t>019</t>
  </si>
  <si>
    <t xml:space="preserve">  Субсидии некоммерческим организациям в области жилищно-коммунального хозяйства</t>
  </si>
  <si>
    <t>102 02 24</t>
  </si>
  <si>
    <t>485 97 03</t>
  </si>
  <si>
    <t xml:space="preserve">   Строительство жилого дома № 25 в 115 мкр.(субсидии на капитальные вложения)</t>
  </si>
  <si>
    <t xml:space="preserve">    Строительство жилого дома № 25 в 115 мкр.</t>
  </si>
  <si>
    <t>102 02 11</t>
  </si>
  <si>
    <t xml:space="preserve">       Приложение 6</t>
  </si>
  <si>
    <t>Приложение 7</t>
  </si>
  <si>
    <t>Приложение 8</t>
  </si>
  <si>
    <t>102 02 12</t>
  </si>
  <si>
    <t xml:space="preserve"> 10 </t>
  </si>
  <si>
    <t xml:space="preserve">   Строительство детского сада на 330 мест в 105 мкр (субсидии на капитальные вложения)</t>
  </si>
  <si>
    <t xml:space="preserve">   Строительство детского сада на 330 мест в 115 мкр (субсидии на капитальные вложения)</t>
  </si>
  <si>
    <t xml:space="preserve">   Медицинский комплекс амбулаторного обслуживания населения в 8 мкр.</t>
  </si>
  <si>
    <t xml:space="preserve">    Историко-этнографический музей "Усадьба Гальских" (субсидии на капитальные вложения)</t>
  </si>
  <si>
    <t>006</t>
  </si>
  <si>
    <t>РАСХОДЫ</t>
  </si>
  <si>
    <t>Физическая культура и спорт</t>
  </si>
  <si>
    <t>079</t>
  </si>
  <si>
    <t>805,808,809</t>
  </si>
  <si>
    <t>,808,809</t>
  </si>
  <si>
    <t>340 83 00</t>
  </si>
  <si>
    <t>098 02 00</t>
  </si>
  <si>
    <t>522 14 00</t>
  </si>
  <si>
    <t xml:space="preserve">   Строительство объектов сметной стоимостью до 100 млн. рублей</t>
  </si>
  <si>
    <t xml:space="preserve"> Субсидии на реализацию долгосрочной целевой программы "Демографическое развитие Вологодской области" на 2009, 2010 годы
                                   </t>
  </si>
  <si>
    <t xml:space="preserve"> Субсидии на питание школьников в рамках реализации  долгосрочной целевой программы "Демографическое развитие Вологодской области" на 2009, 2010 годы
                                   </t>
  </si>
  <si>
    <t>102 02 19</t>
  </si>
  <si>
    <t>102 02 20</t>
  </si>
  <si>
    <t xml:space="preserve"> Другие вопросы в области охраны окружающей среды </t>
  </si>
  <si>
    <t xml:space="preserve">  Строительство кладбища в районе д. Ивачево</t>
  </si>
  <si>
    <t xml:space="preserve">  Мероприятия в сфере культуры и кинематографии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</si>
  <si>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           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</si>
  <si>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 (за счет субвенций)</t>
  </si>
  <si>
    <t>440 01 00</t>
  </si>
  <si>
    <t>Ведомственные целевые программы</t>
  </si>
  <si>
    <t>Ведомственная целевая программа "Пожарная безопасность учреждений социального обслуживания населения на 2009 - 2011 годы" (за счет субвенций)</t>
  </si>
  <si>
    <t>524 30 00</t>
  </si>
  <si>
    <t>Ведомственная целевая программа "Укрепление материально-технической базы стационарных учреждений социального обслуживания населения области и специализированных учреждений для несовершеннолетних, нуждающихся в социальной реабилитации, на 2011 - 2013 годы" (за счет субвенций)</t>
  </si>
  <si>
    <t>505 55 30</t>
  </si>
  <si>
    <t>Реализация мер социальной поддержки отдельных категорий граждан</t>
  </si>
  <si>
    <t>505 55 00</t>
  </si>
  <si>
    <t xml:space="preserve"> Долгосрочная целевая программа "Безбарьерная среда" на 2010-2014 годы (за счет субвенций)</t>
  </si>
  <si>
    <t xml:space="preserve">  Предоставление гражданам субсидий на оплату жилого помещения и коммунальных услуг (за счет субвенций)</t>
  </si>
  <si>
    <t xml:space="preserve">  Строительство детского сада в 115 мкр.</t>
  </si>
  <si>
    <t>505 48 00</t>
  </si>
  <si>
    <t xml:space="preserve"> Государственная поддержка отдельных отраслей промышленности и топливно-энергетического комплекса</t>
  </si>
  <si>
    <t>521 01 00</t>
  </si>
  <si>
    <t>Долгосрочные целевые программы</t>
  </si>
  <si>
    <t>522 14 01</t>
  </si>
  <si>
    <t>522 14 02</t>
  </si>
  <si>
    <t>522 30 00</t>
  </si>
  <si>
    <t>522 20 00</t>
  </si>
  <si>
    <t>520 10 00</t>
  </si>
  <si>
    <t xml:space="preserve"> Школы-детские сады, школы начальные, неполные средние и средние</t>
  </si>
  <si>
    <t>024</t>
  </si>
  <si>
    <t>023</t>
  </si>
  <si>
    <t xml:space="preserve">  Реконструкция Северного шоссе</t>
  </si>
  <si>
    <t xml:space="preserve">  Решение Череповецкой городской Думы от 15.03.2011 № 25 "Об оказании единовременной социальной помощи"</t>
  </si>
  <si>
    <t xml:space="preserve">КУЛЬТУРА, КИНЕМАТОГРАФИЯ </t>
  </si>
  <si>
    <t xml:space="preserve">Культура, кинематография </t>
  </si>
  <si>
    <t xml:space="preserve">    Реконструкция путепровода через пр. Победы в районе ул. Судостроительной (с расширением улично-дорожной сети) (проектно-сметная документация) (субсидии на капитальные вложения)</t>
  </si>
  <si>
    <t xml:space="preserve">  Строительство магистральных сетей для застройки Зашекснинского района (112 микрорайон) (2 этап)</t>
  </si>
  <si>
    <t xml:space="preserve">  Оценка недвижимости, признание прав и регулирование отношений по  муниципальной собственности</t>
  </si>
  <si>
    <t xml:space="preserve"> Оценка недвижимости, признание прав и регулирование отношений по муниципальной собственности</t>
  </si>
  <si>
    <t xml:space="preserve">  Строительство магистральных сетей для застройки восточной части Зашекснинского района</t>
  </si>
  <si>
    <t>102 02 15</t>
  </si>
  <si>
    <t>102 02 16</t>
  </si>
  <si>
    <t xml:space="preserve"> Больницы, клиники, госпитали, медико-санитарные части</t>
  </si>
  <si>
    <t xml:space="preserve">  Председатель представительного органа муниципального образования</t>
  </si>
  <si>
    <t xml:space="preserve">  Депутаты представительного органа муниципального образования</t>
  </si>
  <si>
    <t>Итого расходов</t>
  </si>
  <si>
    <t>522 05 00</t>
  </si>
  <si>
    <t xml:space="preserve">  Субсидии юридическим лицам</t>
  </si>
  <si>
    <t xml:space="preserve"> Оздоровление детей</t>
  </si>
  <si>
    <t>070 00 00</t>
  </si>
  <si>
    <t xml:space="preserve"> Резервные фонды</t>
  </si>
  <si>
    <t>001 40 00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</si>
  <si>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</si>
  <si>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</si>
  <si>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 xml:space="preserve">  Другие вопросы в области национальной безопасности и правоохранительной деятельности</t>
  </si>
  <si>
    <t xml:space="preserve">  Муниципальная программа развития субъектов  малого и среднего предпринимательства в городе Череповце на 2009-2012 годы</t>
  </si>
  <si>
    <t xml:space="preserve">  Иные субсидии местным бюджетам для софинансирования расходных обязательств по исполнению полномочий органов  местного самоуправления по вопросам местного значения </t>
  </si>
  <si>
    <t xml:space="preserve">  Специальные (коррекционные) учреждения</t>
  </si>
  <si>
    <t>Шекснинский проспект на участке от Октябрьского пр. до ул. Рыбинской</t>
  </si>
  <si>
    <t xml:space="preserve">  Субсидии  на реализацию  долгосрочной целевой программы "Здоровое школьное питание на 2009-2015 годы"</t>
  </si>
  <si>
    <t xml:space="preserve">  Субвенции на осуществление отдельных государственных полномочий в сфере регулирования цен и тарифов</t>
  </si>
  <si>
    <t xml:space="preserve">   Строительство жилого дома № 30 в 106 мкр. (субсидии на капитальные вложения)</t>
  </si>
  <si>
    <t>485 00 00</t>
  </si>
  <si>
    <t>487 00 00</t>
  </si>
  <si>
    <t>Реализация государственных функций в области физической культуры и спорта</t>
  </si>
  <si>
    <t>Мероприятия в области спорта и физической культуры</t>
  </si>
  <si>
    <t>525 06 00</t>
  </si>
  <si>
    <t>525 08 00</t>
  </si>
  <si>
    <t>Бюджет от 15.03.2011 № 18</t>
  </si>
  <si>
    <t>525 05 00</t>
  </si>
  <si>
    <t>525 11 00</t>
  </si>
  <si>
    <t>525 13 00</t>
  </si>
  <si>
    <t>525 12 00</t>
  </si>
  <si>
    <t xml:space="preserve">  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</si>
  <si>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 xml:space="preserve">       Приложение 11</t>
  </si>
  <si>
    <t xml:space="preserve">       к решению Череповецкой</t>
  </si>
  <si>
    <t xml:space="preserve">       городской Думы</t>
  </si>
  <si>
    <t xml:space="preserve">       от 07.12.2010 № 203 </t>
  </si>
  <si>
    <t xml:space="preserve">  Строительство кладбища в районе д. Ивачево 2 очередь</t>
  </si>
  <si>
    <t xml:space="preserve">   Реконструкция здания  по улице Гоголя д.14 под детский сад (субсидии на капитальные вложения)</t>
  </si>
  <si>
    <t xml:space="preserve">  Строительство мостового перехода через р. Шексну в створе                           ул. Архангельской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</si>
  <si>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</si>
  <si>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                                                     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</si>
  <si>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>КУЛЬТУРА, КИНЕМАТОГРАФИЯ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</si>
  <si>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      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</si>
  <si>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 Реализация других функций, связанных с обеспечением национальной безопасности и правоохранительной деятельности</t>
  </si>
  <si>
    <t>247 00 00</t>
  </si>
  <si>
    <t>092 00 00</t>
  </si>
  <si>
    <t>795 00 00</t>
  </si>
  <si>
    <t>795 01 00</t>
  </si>
  <si>
    <t>Сумма</t>
  </si>
  <si>
    <t xml:space="preserve">Сумма </t>
  </si>
  <si>
    <t xml:space="preserve">  Другие вопросы в области национальной экономики</t>
  </si>
  <si>
    <t xml:space="preserve">   Выполнение функций органами местного самоуправления </t>
  </si>
  <si>
    <t xml:space="preserve"> Долгосрочные целевые программы</t>
  </si>
  <si>
    <t>795 01 03</t>
  </si>
  <si>
    <t xml:space="preserve">  Городские целевые программы</t>
  </si>
  <si>
    <t>795 01 02</t>
  </si>
  <si>
    <t xml:space="preserve"> Городские целевые программы</t>
  </si>
  <si>
    <t>"Безбарьерная среда" на 2011-2013 годы</t>
  </si>
  <si>
    <t>795 01 07</t>
  </si>
  <si>
    <t>795 01 01</t>
  </si>
  <si>
    <t>795 02 01</t>
  </si>
  <si>
    <t xml:space="preserve">  "Развитие инвестиционного потенциала города Череповца" на 2010-2015 годы</t>
  </si>
  <si>
    <t>795 01 06</t>
  </si>
  <si>
    <t>795 01 04</t>
  </si>
  <si>
    <t xml:space="preserve">  Долгосрочная целевая программа противодействия коррупции в городе Череповце на 2011-2012 годы</t>
  </si>
  <si>
    <t>795 01 05</t>
  </si>
  <si>
    <t xml:space="preserve">   Выполнение функций государственными органами </t>
  </si>
  <si>
    <t xml:space="preserve"> Образование</t>
  </si>
  <si>
    <t>431 01 00</t>
  </si>
  <si>
    <t>431 00 00</t>
  </si>
  <si>
    <t>457 00 00</t>
  </si>
  <si>
    <t>457 99 00</t>
  </si>
  <si>
    <t>491 00 00</t>
  </si>
  <si>
    <t xml:space="preserve">   Доплаты к пенсиям государственных служащих субъектов Российской Федерации и муниципальных служащих</t>
  </si>
  <si>
    <t xml:space="preserve">   Доплаты к пенсиям, дополнительное пенсионное обеспечение</t>
  </si>
  <si>
    <t>491 01 00</t>
  </si>
  <si>
    <t xml:space="preserve"> Социальное обеспечение населения</t>
  </si>
  <si>
    <t>104 00 00</t>
  </si>
  <si>
    <t xml:space="preserve">   Подпрограмма "Обеспечение жильем молодых семей"</t>
  </si>
  <si>
    <t>104 02 00</t>
  </si>
  <si>
    <t xml:space="preserve">   Субсидии на обеспечение жильем </t>
  </si>
  <si>
    <t>505 00 00</t>
  </si>
  <si>
    <t>505 34 00</t>
  </si>
  <si>
    <t xml:space="preserve">  Долгосрочные целевые программы</t>
  </si>
  <si>
    <t>522 00 00</t>
  </si>
  <si>
    <t>522 23 00</t>
  </si>
  <si>
    <t xml:space="preserve">  Долгосрочные городские целевые программы</t>
  </si>
  <si>
    <t>002 11 00</t>
  </si>
  <si>
    <t>002 12 00</t>
  </si>
  <si>
    <t xml:space="preserve">   Поисковые и аварийно-спасательные учреждения</t>
  </si>
  <si>
    <t>302 99 00</t>
  </si>
  <si>
    <t>302 00 00</t>
  </si>
  <si>
    <t>514 02 03</t>
  </si>
  <si>
    <t xml:space="preserve">   Обеспечение деятельности подведомственных учреждений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</si>
  <si>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</si>
  <si>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</si>
  <si>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</si>
  <si>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</si>
  <si>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</si>
  <si>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350 02 00</t>
  </si>
  <si>
    <t>350 00 00</t>
  </si>
  <si>
    <t>350 03 00</t>
  </si>
  <si>
    <t>350 04 00</t>
  </si>
  <si>
    <t>092 03 00</t>
  </si>
  <si>
    <t xml:space="preserve">05 </t>
  </si>
  <si>
    <t xml:space="preserve">  Бюджетные инвестиции </t>
  </si>
  <si>
    <t xml:space="preserve">  Благоустройство </t>
  </si>
  <si>
    <t>600 00 00</t>
  </si>
  <si>
    <t>600 01 00</t>
  </si>
  <si>
    <t xml:space="preserve"> 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</si>
  <si>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</si>
  <si>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  Озеленение</t>
  </si>
  <si>
    <t>600 03 00</t>
  </si>
  <si>
    <t>600 04 00</t>
  </si>
  <si>
    <t>600 05 00</t>
  </si>
  <si>
    <t xml:space="preserve">       от 31.05.2011 № 78</t>
  </si>
  <si>
    <t>от 31.05.2011 № 78</t>
  </si>
  <si>
    <t xml:space="preserve">от 31.05.2011 № 78   </t>
  </si>
  <si>
    <t xml:space="preserve"> Другие вопросы в области жилищно-коммунального хозяйства</t>
  </si>
  <si>
    <t xml:space="preserve">  Капитальные вложения в рамках реализации долгосрочной целевой программы "Инвестиции в объекты капитального строительства на 2010-2013 годы и на перспективу до 2020 года" (за счет субсидий)</t>
  </si>
  <si>
    <t>Образование</t>
  </si>
  <si>
    <t>в ведомственной структуре расходов на 2011 год</t>
  </si>
  <si>
    <t xml:space="preserve">     Субсидии некоммерческим организациям</t>
  </si>
  <si>
    <t>Социальная политика</t>
  </si>
  <si>
    <t xml:space="preserve">  Реализация государственных функций в области социальной политики</t>
  </si>
  <si>
    <t xml:space="preserve">  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</si>
  <si>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 xml:space="preserve">  Воинские формирования </t>
  </si>
  <si>
    <t xml:space="preserve">  Осуществление отдельных государственных полномочий в сфере охраны окружающей среды (за счет субвенций)</t>
  </si>
  <si>
    <t xml:space="preserve">  Питание школьников (за счет субсидий)</t>
  </si>
  <si>
    <t xml:space="preserve">  Долгосрочная целевая программа "Пожарная безопасность учреждений культуры" на 2009-2011 годы (за счет субсидий)</t>
  </si>
  <si>
    <t xml:space="preserve">  Долгосрочная целевая программа "Традиционная народная культура как основа сохранения культурной самобытности Вологодской области на 2011-2014 годы" (за счет субсидий)</t>
  </si>
  <si>
    <t xml:space="preserve">  Долгосрочная целевая программа "Безбарьерная среда" на 2010-2014 годы (за счет субсидий)</t>
  </si>
  <si>
    <t xml:space="preserve">  Денежные выплаты медицинскому персоналу фельдшерско-акушерских пунктов, врачам, фельдшерам и медицинским сестрам скорой медицинской помощи (за счет субсидий)</t>
  </si>
  <si>
    <t xml:space="preserve">  Обеспечениие мероприятий по восстановительному лечению работающих граждан после оказания им стационарной помощи (за счет субсидий)</t>
  </si>
  <si>
    <t xml:space="preserve">  Обеспечение публичных нормативных обязательств города</t>
  </si>
  <si>
    <t xml:space="preserve">  Долгосрочная целевая программа "Обеспечение жильем молодых семей в Вологодской области  на 2009-2011 годы" (за счет субсидий)</t>
  </si>
  <si>
    <t xml:space="preserve">  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</si>
  <si>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 xml:space="preserve">  "Безбарьерная среда" на 2011-2013 годы</t>
  </si>
  <si>
    <t xml:space="preserve">городского бюджета по разделам, подразделам, целевым статьям и видам расходов </t>
  </si>
  <si>
    <t xml:space="preserve">  Реализация государственных функций в области национальной экономики</t>
  </si>
  <si>
    <t xml:space="preserve">  Ведомственные целевые программы </t>
  </si>
  <si>
    <t xml:space="preserve">  Компенсация части родительской платы, взимаемой с родителей (законных представителей) за содержание детей в муниципальных образовательных учреждениях, реализующих основную общеобразовательную программу дошкольного образования (за счет субвенций)</t>
  </si>
  <si>
    <t xml:space="preserve">  Содержание ребенка в семье опекуна и приемной семье, а также вознаграждение, причитающееся приемному родителю (за счет субвенций)</t>
  </si>
  <si>
    <t xml:space="preserve">   Мероприятия в области здравоохранения</t>
  </si>
  <si>
    <t xml:space="preserve">   Больницы, клиники, госпитали, медико-санитарные части</t>
  </si>
  <si>
    <t>Обслуживание государственного и муниципального долга</t>
  </si>
  <si>
    <t>УПРАВЛЕНИЕ ПО ДЕЛАМ КУЛЬТУРЫ МЭРИИ ГОРОДА</t>
  </si>
  <si>
    <t xml:space="preserve">   Мероприятия в области социальной политики</t>
  </si>
  <si>
    <t>514 00 00</t>
  </si>
  <si>
    <t>514 01 00</t>
  </si>
  <si>
    <t>Национальная экономика</t>
  </si>
  <si>
    <t xml:space="preserve"> Другие вопросы в области национальной экономики</t>
  </si>
  <si>
    <t>340 00 00</t>
  </si>
  <si>
    <t xml:space="preserve">  Капитальный ремонт многоквартирных домов, включенных в муниципальную программу "Энергосбережение и повышение энергетической эффективности на территории муниципального образования город Череповец на 2010-2014 годы" </t>
  </si>
  <si>
    <t>350 05 00</t>
  </si>
  <si>
    <t>485 97 01</t>
  </si>
  <si>
    <t>485 97 00</t>
  </si>
  <si>
    <t xml:space="preserve">Субсидии на реализацию долгосрочной целевой программы "Эффективная и безопасная лучевая диагностика" на 2010-2012 годы </t>
  </si>
  <si>
    <t>522 06 00</t>
  </si>
  <si>
    <t>522 62 00</t>
  </si>
  <si>
    <t>522 21 00</t>
  </si>
  <si>
    <t>487 97 00</t>
  </si>
  <si>
    <t>487 97 01</t>
  </si>
  <si>
    <t>Спорт высших достижений</t>
  </si>
  <si>
    <t>522 55 00</t>
  </si>
  <si>
    <t>Субсидии на реализацию долгсрочной целевой программы "Энергосбережение и повышение энергетической эффективности на территории Вологодской области на 2010-2015 годы и на перспективу до 2020 года"</t>
  </si>
  <si>
    <t>522 57 00</t>
  </si>
  <si>
    <t xml:space="preserve">  Мероприятия по землеустройству и землепользованию </t>
  </si>
  <si>
    <t>340 03 00</t>
  </si>
  <si>
    <t xml:space="preserve"> Дошкольное образование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</si>
  <si>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</si>
  <si>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</si>
  <si>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</si>
  <si>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</si>
  <si>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</si>
  <si>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</si>
  <si>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</si>
  <si>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424 00 00</t>
  </si>
  <si>
    <t>424 99 00</t>
  </si>
  <si>
    <t>433 00 00</t>
  </si>
  <si>
    <t>433 99 00</t>
  </si>
  <si>
    <t>443</t>
  </si>
  <si>
    <t xml:space="preserve">  Возмещение  затрат на содержание незаселенных жилых помещений муниципального жилищного фонда и коммунальные услуги </t>
  </si>
  <si>
    <t>009</t>
  </si>
  <si>
    <t>525 01 07</t>
  </si>
  <si>
    <t>436 12 02</t>
  </si>
  <si>
    <t>436 12 00</t>
  </si>
  <si>
    <t>436 00 00</t>
  </si>
  <si>
    <t>436 12 01</t>
  </si>
  <si>
    <t>522 34 00</t>
  </si>
  <si>
    <t>525 01 04</t>
  </si>
  <si>
    <t>525 01 05</t>
  </si>
  <si>
    <t>525 01 02</t>
  </si>
  <si>
    <t>795 02 02</t>
  </si>
  <si>
    <t xml:space="preserve">    Субсидии  юридическим лицам </t>
  </si>
  <si>
    <t xml:space="preserve"> Учреждения по внешкольной работе с детьми</t>
  </si>
  <si>
    <t xml:space="preserve"> Детские дома</t>
  </si>
  <si>
    <t xml:space="preserve">  Мероприятия в области здравоохранения, спорта и физической культуры, туризма</t>
  </si>
  <si>
    <t xml:space="preserve"> Физкультурно-оздоровительная работа и спортивные мероприятия</t>
  </si>
  <si>
    <t xml:space="preserve">  Прочие мероприятия по благоустройству городских округов и поселений</t>
  </si>
  <si>
    <t xml:space="preserve">  Уличное освещение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</si>
  <si>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</si>
  <si>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</si>
  <si>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</si>
  <si>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</si>
  <si>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</si>
  <si>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 xml:space="preserve">   Уплата налога на имущество организаций и земельного налога</t>
  </si>
  <si>
    <t>420 95 00</t>
  </si>
  <si>
    <t>421 95 00</t>
  </si>
  <si>
    <t>423 95 00</t>
  </si>
  <si>
    <t>452 95 00</t>
  </si>
  <si>
    <t>470 95 00</t>
  </si>
  <si>
    <t>471 95 00</t>
  </si>
  <si>
    <t>474 95 00</t>
  </si>
  <si>
    <t>469 95 00</t>
  </si>
  <si>
    <t>440 95 00</t>
  </si>
  <si>
    <t>441 95 00</t>
  </si>
  <si>
    <t>тыс.рублей</t>
  </si>
  <si>
    <t xml:space="preserve">  городского бюджета по разделам, подразделам функциональной классификации на 2011 год </t>
  </si>
  <si>
    <t>13</t>
  </si>
  <si>
    <t xml:space="preserve">ЗДРАВООХРАНЕНИЕ </t>
  </si>
  <si>
    <t>Другие вопросы в области здравоохранения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</si>
  <si>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</si>
  <si>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</si>
  <si>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</si>
  <si>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</si>
  <si>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</si>
  <si>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r>
      <t xml:space="preserve">   Субсидии на обеспечение молоком</t>
    </r>
    <r>
      <rPr>
        <sz val="13"/>
        <rFont val="Times New Roman"/>
        <family val="1"/>
      </rPr>
      <t xml:space="preserve"> школьников (обуч</t>
    </r>
    <r>
      <rPr>
        <sz val="13"/>
        <rFont val="Times New Roman"/>
        <family val="1"/>
      </rPr>
      <t xml:space="preserve">ающихся) 1-4 классов в рамках реализации долгосрочной целевой программы "Демографическое развитие Вологодской области" на 2009, 2010 годы
</t>
    </r>
  </si>
  <si>
    <r>
      <t xml:space="preserve">   Субсидии на обеспечение молоком</t>
    </r>
    <r>
      <rPr>
        <sz val="13"/>
        <rFont val="Times New Roman"/>
        <family val="1"/>
      </rPr>
      <t xml:space="preserve"> школьников </t>
    </r>
    <r>
      <rPr>
        <sz val="13"/>
        <rFont val="Times New Roman"/>
        <family val="1"/>
      </rPr>
      <t xml:space="preserve">(обучающихся) 1-4 классов в рамках реализации долгосрочной целевой программы "Демографическое развитие Вологодской области" на 2009, 2010 годы
</t>
    </r>
  </si>
  <si>
    <t>442 95 00</t>
  </si>
  <si>
    <t>443 95 00</t>
  </si>
  <si>
    <t xml:space="preserve">    Мероприятия в сфере образования</t>
  </si>
  <si>
    <t xml:space="preserve">   Мероприятия в сфере образования</t>
  </si>
  <si>
    <t xml:space="preserve">    Мероприятия в области социальной политики</t>
  </si>
  <si>
    <t xml:space="preserve">    Природоохранные мероприятия</t>
  </si>
  <si>
    <t>457 95 00</t>
  </si>
  <si>
    <t>014</t>
  </si>
  <si>
    <t xml:space="preserve">  Организация и содержание мест захоронения</t>
  </si>
  <si>
    <t>07</t>
  </si>
  <si>
    <t>12</t>
  </si>
  <si>
    <t>202 58 00</t>
  </si>
  <si>
    <t>202 67 00</t>
  </si>
  <si>
    <t>202 72 00</t>
  </si>
  <si>
    <t>202 76 00</t>
  </si>
  <si>
    <t xml:space="preserve">  Резервные фонды мэрии города</t>
  </si>
  <si>
    <t>070 05 00</t>
  </si>
  <si>
    <t>432 02 00</t>
  </si>
  <si>
    <t xml:space="preserve"> Обеспечение проведения выборов и референдумов</t>
  </si>
  <si>
    <t xml:space="preserve">  Социальные выплаты</t>
  </si>
  <si>
    <t>505 34 02</t>
  </si>
  <si>
    <t xml:space="preserve"> Учреждения культуры и мероприятия в сфере культуры и кинематографии</t>
  </si>
  <si>
    <t xml:space="preserve"> Субсидии на реализацию долгосрочной целевой программы "Пожарная безопасность учреждений здравоохранения" на 2009-2012 годы</t>
  </si>
  <si>
    <t>102 02 22</t>
  </si>
  <si>
    <t xml:space="preserve">  Строительство детского сада  № 35 в 105 мкр.</t>
  </si>
  <si>
    <t xml:space="preserve">   Реконструкция МОУ "Средняя общеобразовательная школа № 9 с углубленным изучением отдельных предметов" под детский сад № 114 (пр.Победы, 196)</t>
  </si>
  <si>
    <t>ППП</t>
  </si>
  <si>
    <t>429 00 00</t>
  </si>
  <si>
    <t xml:space="preserve">  Учебные заведения и курсы по переподготовке кадров</t>
  </si>
  <si>
    <t>429 99 00</t>
  </si>
  <si>
    <t>429 95 00</t>
  </si>
  <si>
    <t xml:space="preserve">07 </t>
  </si>
  <si>
    <t>452 00 00</t>
  </si>
  <si>
    <t>452 99 00</t>
  </si>
  <si>
    <t>795 02 00</t>
  </si>
  <si>
    <t xml:space="preserve"> Мероприятия в сфере культуры</t>
  </si>
  <si>
    <t>013</t>
  </si>
  <si>
    <t xml:space="preserve">  Прочие расходы</t>
  </si>
  <si>
    <t>0980101</t>
  </si>
  <si>
    <t xml:space="preserve">  Обеспечение деятельности подведомственных учреждений</t>
  </si>
  <si>
    <t xml:space="preserve">   Социальные выплаты </t>
  </si>
  <si>
    <t xml:space="preserve">  Субсидии  юридическим лицам </t>
  </si>
  <si>
    <t xml:space="preserve"> Стационарная медицинская помощь</t>
  </si>
  <si>
    <t>14</t>
  </si>
  <si>
    <t>001</t>
  </si>
  <si>
    <t>Профессиональная подготовка, переподготовка и повышение квалификации</t>
  </si>
  <si>
    <t>092 99 00</t>
  </si>
  <si>
    <t>00</t>
  </si>
  <si>
    <t xml:space="preserve">  Субсидии на обеспечение мероприятий по капитальному ремонту многоквартирных домов за счет безвозмездных поступлений от государственной корпорации "Фонд содействия реформированию жилищно-коммунального хозяйства"</t>
  </si>
  <si>
    <t xml:space="preserve">  Федеральная целевая программа «Жилище» на 2002-2010 годы (второй этап)</t>
  </si>
  <si>
    <t>621</t>
  </si>
  <si>
    <t xml:space="preserve">   Субсидии автономным учреждениям на возмещение нормативных затрат, связанных с оказанием ими государственных (муниципальных) услуг (выполнением работ)</t>
  </si>
  <si>
    <t xml:space="preserve">    МОУДОД ДЮСШ "Центр боевых искусств"</t>
  </si>
  <si>
    <t xml:space="preserve">   МОУ "Общеобразовательный лицей  "АМТЭК"</t>
  </si>
  <si>
    <t xml:space="preserve">  МУК "Камерный театр</t>
  </si>
  <si>
    <t xml:space="preserve">   Субсидии автономным учреждениям на иные цели</t>
  </si>
  <si>
    <t>622</t>
  </si>
  <si>
    <t xml:space="preserve">  Центральный аппарат</t>
  </si>
  <si>
    <t xml:space="preserve">  Реализация других функций, связанных с обеспечением национальной безопасности и правоохранительной деятельности</t>
  </si>
  <si>
    <t xml:space="preserve">   Жилой дом № 25 в 115 мкр.(субсидии на капитальные вложения)</t>
  </si>
  <si>
    <t xml:space="preserve">   Набережная от Октябрьского моста до мостового перехода через реку Ягорба (субсидии на капитальные вложения)</t>
  </si>
  <si>
    <t xml:space="preserve">  Уплата налога на имущество организаций и земельного налога</t>
  </si>
  <si>
    <t xml:space="preserve">  Проведение мероприятий для детей и молодежи</t>
  </si>
  <si>
    <t xml:space="preserve">  "Здоровый город" на 2009-2012 годы</t>
  </si>
  <si>
    <t>510 03 00</t>
  </si>
  <si>
    <t>520 09 00</t>
  </si>
  <si>
    <t xml:space="preserve">  Выполнение функций бюджетными учреждениями</t>
  </si>
  <si>
    <t xml:space="preserve"> Осуществление отдельных государственных полномочий</t>
  </si>
  <si>
    <t xml:space="preserve">  Мероприятия в сфере образования</t>
  </si>
  <si>
    <t>345 01 14</t>
  </si>
  <si>
    <t>345 00 00</t>
  </si>
  <si>
    <t>345 01 00</t>
  </si>
  <si>
    <t xml:space="preserve"> Малое и среднее предпринимательство</t>
  </si>
  <si>
    <t xml:space="preserve"> Субсидии на государственную поддержку малого и среднего предпринимательства, включая крестьянские (фермерские) хозяйства</t>
  </si>
  <si>
    <t xml:space="preserve"> Субсидии на реализацию дополнительных мероприятий, направленных на снижение напряженности на рынке труда субъектов Российской Федерации</t>
  </si>
  <si>
    <t xml:space="preserve"> 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</si>
  <si>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 xml:space="preserve"> 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</si>
  <si>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  Обеспечение молоком школьников (обучающихся) 1-4-х классов (за счет субсидий)</t>
  </si>
  <si>
    <t xml:space="preserve"> Субсидии на реализацию целевой программы дополнительных мероприятий, направленных на снижение напряженности на рынке труда Вологодской области, в 2010 году</t>
  </si>
  <si>
    <t>Субсидии на реализацию целевой программы дополнительных мероприятий, направленных на снижение напряженности на рынке труда Вологодской области, в 2010 году</t>
  </si>
  <si>
    <t xml:space="preserve">  Долгосрочная целевая программа "Развитие малого и среднего предпринимательства в Вологодской области на 2009-2012 годы"</t>
  </si>
  <si>
    <t>522 32 00</t>
  </si>
  <si>
    <t xml:space="preserve">    Субсидии юридическим лицам</t>
  </si>
  <si>
    <t xml:space="preserve">  Федеральная целевая программа «Жилище» на 2002-2010 годы </t>
  </si>
  <si>
    <t xml:space="preserve">  Подпрограмма "Обеспечение жильем молодых семей"</t>
  </si>
  <si>
    <t xml:space="preserve">  Субсидии на реализацию дополнительных мероприятий, направленных на снижение напряженности на рынке труда субъектов Российской Федерации</t>
  </si>
  <si>
    <t>522 31 00</t>
  </si>
  <si>
    <t xml:space="preserve"> 07 </t>
  </si>
  <si>
    <t xml:space="preserve">   Закольцовка системы газоснабжения Зашекснинского района (субсидии на капитальные вложения)</t>
  </si>
  <si>
    <t xml:space="preserve">   Мероприятия в области здравоохранения, спорта и физической культуры, туризма</t>
  </si>
  <si>
    <t xml:space="preserve"> Мероприятия в области здравоохранения, спорта и физической культуры, туризма </t>
  </si>
  <si>
    <t xml:space="preserve">  Глава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</si>
  <si>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</si>
  <si>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Судебная система</t>
  </si>
  <si>
    <t xml:space="preserve">  Предоставление субсидий на оплату жилого помещения и коммунальных услуг (за счет субвенций) </t>
  </si>
  <si>
    <t xml:space="preserve">   Выполнение функций государственными органами</t>
  </si>
  <si>
    <t>350 01 00</t>
  </si>
  <si>
    <t xml:space="preserve">  Капитальный ремонт многоквартирных домов </t>
  </si>
  <si>
    <t xml:space="preserve">  Проведение выборов и референдумов </t>
  </si>
  <si>
    <t xml:space="preserve">  Резервные фонды</t>
  </si>
  <si>
    <t xml:space="preserve">  Руководство и управление в сфере установленных функций</t>
  </si>
  <si>
    <t xml:space="preserve">  Субсидии некоммерческим организациям</t>
  </si>
  <si>
    <t xml:space="preserve">  Осуществление отдельных государственных полномочий</t>
  </si>
  <si>
    <t xml:space="preserve">  Субвенции на 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 </t>
  </si>
  <si>
    <t xml:space="preserve">  Субвенции на осуществление отдельных государственных полномочий по созданию в муниципальных районах и городских округах области административных комиссий  </t>
  </si>
  <si>
    <t xml:space="preserve">  Субвенции на 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правонарушениях</t>
  </si>
  <si>
    <t xml:space="preserve"> Органы внутренних дел</t>
  </si>
  <si>
    <t xml:space="preserve">  Вещевое обеспечение</t>
  </si>
  <si>
    <t xml:space="preserve">  Пособия и компенсации военнослужащим,  приравненным к ним лицам, а также уволенным из их числа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</si>
  <si>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</si>
  <si>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 Поисковые и аварийно-спасательные учреждения</t>
  </si>
  <si>
    <t xml:space="preserve"> Общеэкономические вопросы</t>
  </si>
  <si>
    <t xml:space="preserve"> Связь и информатика</t>
  </si>
  <si>
    <t xml:space="preserve">  Информационные технологии и связь</t>
  </si>
  <si>
    <t xml:space="preserve">  Бюджетные инвестиции в объекты капитального строительства, не включенные в целевые программы</t>
  </si>
  <si>
    <t xml:space="preserve">  Строительство объектов сметной стоимостью до 100 млн. руб.</t>
  </si>
  <si>
    <t xml:space="preserve">  Реализация государственных функций в области  национальной экономики</t>
  </si>
  <si>
    <t xml:space="preserve">   Субсидии некоммерческим организациям</t>
  </si>
  <si>
    <t xml:space="preserve">  Обеспечение мероприятий по капитальному ремонту многоквартирных домов и переселению граждан из ветхого и аварийного жилищного фонда</t>
  </si>
  <si>
    <t xml:space="preserve">  Обеспечение мероприятий по капитальному ремонту многоквартирных домов и переселению граждан из ветхого и аварийного жилищного фонда за счет средств бюджетов</t>
  </si>
  <si>
    <t xml:space="preserve">   Субсидии  юридическим лицам </t>
  </si>
  <si>
    <t xml:space="preserve">  Поддержка жилищного хозяйства</t>
  </si>
  <si>
    <t xml:space="preserve"> Коммунальное хозяйство</t>
  </si>
  <si>
    <t xml:space="preserve">  Строительство объектов сметной стоимостью до 100 млн. рублей</t>
  </si>
  <si>
    <t xml:space="preserve">  Поддержка коммунального хозяйства</t>
  </si>
  <si>
    <t xml:space="preserve"> Благоустройство</t>
  </si>
  <si>
    <t xml:space="preserve">  Строительство улицы Раахе (от Октябрьского пр. до ул.Рыбинской) на участке от Октябрьского пр. до ул. Годовикова</t>
  </si>
  <si>
    <t xml:space="preserve">  Долгосрочная целевая программа "Комплексная безопасность образовательного учреждения на 2011-2015 годы" (за счет субсидий)</t>
  </si>
  <si>
    <t xml:space="preserve">  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линий,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</si>
  <si>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Долгосрочная целевая программа "Старшее поколение" на 2011- 2013 годы (за счет субвенций)</t>
  </si>
  <si>
    <t>522 64 00</t>
  </si>
  <si>
    <t>522 35 00</t>
  </si>
  <si>
    <t>Долгосрочная целевая программа по обеспечению социальной адаптации и реабилитации лиц, отбывших наказание в местах лишения свободы, на 2009-2012 годы (за счет субвенций)</t>
  </si>
  <si>
    <t xml:space="preserve">  Удешевление стоимости путевок на санаторно-курортное лечение работников бюджетной сферы области </t>
  </si>
  <si>
    <t>485 97 02</t>
  </si>
  <si>
    <t xml:space="preserve">  Удешевление стоимости путевок на санаторно-курортное лечение работников бюджетной сферы области ( за счет субсидий)</t>
  </si>
  <si>
    <t xml:space="preserve">  Обеспечениие мероприятий по восстановительному лечению работающих граждан после оказания им стационарной помощи </t>
  </si>
  <si>
    <t xml:space="preserve">  Долгосрочная целевая программа "Пожарная безопасность учреждений здравоохранения" на 2009-2012 годы (за счет субсидий)</t>
  </si>
  <si>
    <t xml:space="preserve">  Осуществление отдельных государственных полномочий в сфере регулирования цен и тарифов (за счет субвенций)</t>
  </si>
  <si>
    <t xml:space="preserve">  Долгосрочная целевая программа "Развитие библиотечного дела в Вологодской области на 2009-2011 годы" (за счет субсидий)</t>
  </si>
  <si>
    <t xml:space="preserve">  Поддержка и развитие физической культуры и спорта (за счет субсидий)</t>
  </si>
  <si>
    <t xml:space="preserve">  Субсидии на проведение отдельных мероприятий по другим видам транспорта</t>
  </si>
  <si>
    <t xml:space="preserve">  Осуществление отдельных государственных полномочий в сфере предоставления мер социальной поддержки при проезде на транспорте на территории Вологодской области в соответствии с законом области "О мерах социальной поддержки отдельных категорий граждан при проезде на транспорте на территории Вологодской области" в соответствии с  законом области "О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области" (за счет субвенций)</t>
  </si>
  <si>
    <t xml:space="preserve">  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</si>
  <si>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 xml:space="preserve"> Осуществление полномочий по подготовке проведения статистических переписей (за счет субвенций)</t>
  </si>
  <si>
    <t>Осуществление отдельных государственных полномочий в сфере охраны окружающей среды (за счет субвенций)</t>
  </si>
  <si>
    <t xml:space="preserve">  Реконструкция мостового перехода через реку Ягорбу по пр.Победы </t>
  </si>
  <si>
    <t xml:space="preserve">   Бюджетные инвестиции </t>
  </si>
  <si>
    <t xml:space="preserve"> Охрана объектов растительного и животного мира и среды их обитания</t>
  </si>
  <si>
    <t xml:space="preserve"> Другие вопросы в области охраны окружающей среды</t>
  </si>
  <si>
    <t xml:space="preserve">  Детские дошкольные учреждения</t>
  </si>
  <si>
    <t xml:space="preserve">  Осуществление отдельных государственных полномочий в сфере образования </t>
  </si>
  <si>
    <t xml:space="preserve">  "Благоустройство дворовых территорий многоквартирных жилых домов на 2011 год" 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</si>
  <si>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</si>
  <si>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Капитальный ремонт многоквартирных домов, включенных в муниципальную программу "Энергосбережение и повышение энергетической эффективности на территории муниципального образования "город Череповец" на 2010-2014 годы" 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</si>
  <si>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</si>
  <si>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 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         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</si>
  <si>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 Общее образование</t>
  </si>
  <si>
    <t xml:space="preserve">  Школы-детские сады, школы начальные, неполные средние и средние</t>
  </si>
  <si>
    <t xml:space="preserve">  Детские дома</t>
  </si>
  <si>
    <t xml:space="preserve">  Мероприятия в области образования</t>
  </si>
  <si>
    <t xml:space="preserve">  Организационно-воспитательная работа с молодежью</t>
  </si>
  <si>
    <t xml:space="preserve">  Мероприятия по проведению оздоровительной кампании детей</t>
  </si>
  <si>
    <t xml:space="preserve">  Оздоровление детей</t>
  </si>
  <si>
    <t xml:space="preserve">   Субсидии юридическим лицам</t>
  </si>
  <si>
    <t xml:space="preserve"> Другие вопросы в области образования</t>
  </si>
  <si>
    <t xml:space="preserve">  Реконструкция МОУ "Средняя общеобразовательная школа № 9 с углубленным изучением отдельных предметов" под детский сад № 114 (пр.Победы, 196)</t>
  </si>
  <si>
    <t xml:space="preserve">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</si>
  <si>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"Одаренные дети" на 2011-2013 годы</t>
  </si>
  <si>
    <t xml:space="preserve"> Культура</t>
  </si>
  <si>
    <t xml:space="preserve">  Музеи и постоянные выставки</t>
  </si>
  <si>
    <t xml:space="preserve">  Библиотеки</t>
  </si>
  <si>
    <t xml:space="preserve">  Театры, цирки, концертные и другие организации исполнительских искусств</t>
  </si>
  <si>
    <t xml:space="preserve">  Государственная поддержка в сфере культуры, кинематографии, средств массовой информации</t>
  </si>
  <si>
    <t xml:space="preserve">   Мероприятия в сфере культуры</t>
  </si>
  <si>
    <t xml:space="preserve"> Другие вопросы в области культуры, кинематографии </t>
  </si>
  <si>
    <t xml:space="preserve">  Больницы, клиники, госпитали, медико-санитарные части</t>
  </si>
  <si>
    <t xml:space="preserve">  Родильные дома</t>
  </si>
  <si>
    <t xml:space="preserve"> Амбулаторная помощь</t>
  </si>
  <si>
    <t xml:space="preserve">  Поликлиники, амбулатории, диагностические центры</t>
  </si>
  <si>
    <t xml:space="preserve"> Медицинская помощь в дневных стационарах всех типов</t>
  </si>
  <si>
    <t xml:space="preserve"> Скорая медицинская помощь </t>
  </si>
  <si>
    <t xml:space="preserve">  Станции скорой и неотложной  помощи</t>
  </si>
  <si>
    <t xml:space="preserve">  Иные безвозмездные и безвозвратные перечисления</t>
  </si>
  <si>
    <t xml:space="preserve"> Санаторно-оздоровительная помощь</t>
  </si>
  <si>
    <t xml:space="preserve">  Санатории для детей и подростков</t>
  </si>
  <si>
    <t xml:space="preserve"> Другие вопросы в области здравоохранения</t>
  </si>
  <si>
    <t xml:space="preserve">  Учреждения, обеспечивающие предоставление услуг в сфере здравоохранения</t>
  </si>
  <si>
    <t xml:space="preserve">  Реализация государственных функций в области здравоохранения</t>
  </si>
  <si>
    <t xml:space="preserve">  Прочие мероприятия в области здравоохранения</t>
  </si>
  <si>
    <t xml:space="preserve">  Субсидии на реализацию долгосрочной целевой программы "Эффективная и безопасная лучевая диагностика" на 2010-2012 годы </t>
  </si>
  <si>
    <t xml:space="preserve"> Пенсионное  обеспечение</t>
  </si>
  <si>
    <t xml:space="preserve">  Мероприятия в сфере культуры, кинематографии, средств массовой информации</t>
  </si>
  <si>
    <t xml:space="preserve">  Доплаты к пенсиям, дополнительное пенсионное обеспечение</t>
  </si>
  <si>
    <t xml:space="preserve">  Доплаты к пенсиям государственных служащих субъектов Российской Федерации и муниципальных служащих</t>
  </si>
  <si>
    <t xml:space="preserve">   Социальные выплаты</t>
  </si>
  <si>
    <t xml:space="preserve">  Строительство средней общеобразовательной школы на 33 класса в 112 мкр.</t>
  </si>
  <si>
    <t>102 02 04</t>
  </si>
  <si>
    <t xml:space="preserve">  Строительство поликлиники в 105 мкр.</t>
  </si>
  <si>
    <t xml:space="preserve">  Социальная помощь</t>
  </si>
  <si>
    <t xml:space="preserve"> Другие вопросы в области социальной политики</t>
  </si>
  <si>
    <t xml:space="preserve"> Физическая культура</t>
  </si>
  <si>
    <t xml:space="preserve">  Физкультурно-оздоровительная работа и спортивные мероприятия</t>
  </si>
  <si>
    <t xml:space="preserve">  Мероприятия в области здравоохранения, спорта и физической культуры, туризма </t>
  </si>
  <si>
    <t xml:space="preserve">  "Спортивный город" на 2009-2011 годы</t>
  </si>
  <si>
    <t xml:space="preserve"> Массовый спорт</t>
  </si>
  <si>
    <t xml:space="preserve"> Спорт высших достижений</t>
  </si>
  <si>
    <t xml:space="preserve">  Реализация государственных функций в области физической культуры и спорта</t>
  </si>
  <si>
    <t xml:space="preserve">  Мероприятия в области спорта и физической культуры</t>
  </si>
  <si>
    <t xml:space="preserve"> Другие вопросы в области физической культуры и спорта</t>
  </si>
  <si>
    <t xml:space="preserve"> Периодическая печать и издательства</t>
  </si>
  <si>
    <t xml:space="preserve">11 </t>
  </si>
  <si>
    <t xml:space="preserve">  Долгосрочная целевая программа "Развитие образования в сфере культуры и искусства в Вологодской области на 2011-2013 годы" (за счет субсидий)</t>
  </si>
  <si>
    <t xml:space="preserve"> Строительство объекта "Многофункциональный дворец ледовых видов спорта"</t>
  </si>
  <si>
    <t xml:space="preserve">  Строительство объекта "Многофункциональный дворец ледовых видов спорта"</t>
  </si>
  <si>
    <t>067</t>
  </si>
  <si>
    <t xml:space="preserve">   Мероприятия в области здравоохранения,</t>
  </si>
  <si>
    <t xml:space="preserve">  Периодические издания, учрежденные органами местного самоуправления</t>
  </si>
  <si>
    <t xml:space="preserve"> Обслуживание внутреннего государственного и муниципального долга </t>
  </si>
  <si>
    <t xml:space="preserve">  Процентные платежи по долговым обязательствам</t>
  </si>
  <si>
    <t xml:space="preserve">городского бюджета по разделам, подразделам, целевым статьям и видам расходов функциональной классификации на 2011 год </t>
  </si>
  <si>
    <t xml:space="preserve"> Культура </t>
  </si>
  <si>
    <t xml:space="preserve"> Пенсионное обеспечение</t>
  </si>
  <si>
    <t xml:space="preserve"> Охрана семьи и детства</t>
  </si>
  <si>
    <t xml:space="preserve"> Обслуживание внутреннего государственного и муниципального долга</t>
  </si>
  <si>
    <t xml:space="preserve">  Осуществление полномочий органами местного самоуправления в области содействия занятости населения</t>
  </si>
  <si>
    <t xml:space="preserve"> Переодическая печать и издательства</t>
  </si>
  <si>
    <t xml:space="preserve">  Субсидии на реализацию долгсрочной целевой программы "Энергосбережение и повышение энергетической эффективности на территории Вологодской области на 2010-2015 годы и на перспективу до 2020 года"</t>
  </si>
  <si>
    <t xml:space="preserve">  Строительство объектов общегражданского назначения</t>
  </si>
  <si>
    <t xml:space="preserve">   Строительство объектов сметной стоимостью до 100 млн. руб.</t>
  </si>
  <si>
    <t xml:space="preserve">    Закольцовка системы газоснабжения  Зашекснинского района </t>
  </si>
  <si>
    <t xml:space="preserve">  Строительство магистральных сетей для застройки Зашекснинского района (112 мкр.)</t>
  </si>
  <si>
    <t xml:space="preserve"> Здравоохранение</t>
  </si>
  <si>
    <t>Реализация государственных функций в области здравоохранения</t>
  </si>
  <si>
    <t>Прочие мероприятия в области здравоохранения</t>
  </si>
  <si>
    <t>485 97 04</t>
  </si>
  <si>
    <t>Мероприятия в области здравоохранения</t>
  </si>
  <si>
    <t xml:space="preserve">  Удешевление стоимости путевок на санаторно-курортное лечение работников бюджетной сферы области</t>
  </si>
  <si>
    <t xml:space="preserve">  Мероприятия в области здравоохранения</t>
  </si>
  <si>
    <t xml:space="preserve">  Общеэкономические вопросы</t>
  </si>
  <si>
    <t>510 00 00</t>
  </si>
  <si>
    <t xml:space="preserve">  Реализация государственной политики занятости населения</t>
  </si>
  <si>
    <t>510 02 00</t>
  </si>
  <si>
    <t xml:space="preserve"> Осуществление полномочий органами местного самоуправления в области содействия занятости населения</t>
  </si>
  <si>
    <t xml:space="preserve">    Реконструкция мостового перехода через р. Ягорбу по пр. Победы (субсидии на капитальные вложения)</t>
  </si>
  <si>
    <t xml:space="preserve">   Транспортная развязка Октябрьский мост - ул. Раахе (субсидии на капитальные вложения)</t>
  </si>
  <si>
    <t xml:space="preserve">    Реконструкция путепровода через пр. Победы в районе ул. Судостроительной (проектно-сметная документация) (субсидии на капитальные вложения)</t>
  </si>
  <si>
    <t xml:space="preserve">   "Экология города" на 2009-2015 годы</t>
  </si>
  <si>
    <t xml:space="preserve">  Специальные (коррекционные)  учреждения</t>
  </si>
  <si>
    <t xml:space="preserve"> Субсидии некоммерческим организациям в области жилищно-коммунального хозяйства</t>
  </si>
  <si>
    <t xml:space="preserve">   Субсидии некоммерческим организациям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</si>
</sst>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</numFmts>
  <fonts count="15">
    <font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justify"/>
      <protection/>
    </xf>
    <xf numFmtId="0" fontId="0" fillId="0" borderId="0" xfId="0" applyBorder="1" applyAlignment="1">
      <alignment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justify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wrapText="1"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justify"/>
      <protection/>
    </xf>
    <xf numFmtId="0" fontId="0" fillId="0" borderId="0" xfId="0" applyBorder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2" borderId="0" xfId="0" applyFill="1" applyAlignment="1">
      <alignment/>
    </xf>
    <xf numFmtId="0" fontId="1" fillId="2" borderId="0" xfId="0" applyNumberFormat="1" applyFont="1" applyFill="1" applyBorder="1" applyAlignment="1" applyProtection="1">
      <alignment vertical="center"/>
      <protection/>
    </xf>
    <xf numFmtId="164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Fon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justify" vertical="center"/>
      <protection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vertical="center"/>
    </xf>
    <xf numFmtId="49" fontId="1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horizontal="center" vertical="center"/>
      <protection/>
    </xf>
    <xf numFmtId="164" fontId="8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justify" vertical="center" wrapText="1"/>
      <protection/>
    </xf>
    <xf numFmtId="0" fontId="1" fillId="2" borderId="2" xfId="0" applyNumberFormat="1" applyFont="1" applyFill="1" applyBorder="1" applyAlignment="1" applyProtection="1">
      <alignment horizontal="left" vertical="center" wrapText="1"/>
      <protection/>
    </xf>
    <xf numFmtId="0" fontId="1" fillId="2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2" borderId="2" xfId="0" applyNumberFormat="1" applyFont="1" applyFill="1" applyBorder="1" applyAlignment="1" applyProtection="1">
      <alignment horizontal="center" vertical="center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1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>
      <alignment vertical="center"/>
    </xf>
    <xf numFmtId="49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2" xfId="0" applyNumberFormat="1" applyFont="1" applyFill="1" applyBorder="1" applyAlignment="1" applyProtection="1">
      <alignment horizontal="center" vertical="center"/>
      <protection/>
    </xf>
    <xf numFmtId="49" fontId="1" fillId="2" borderId="2" xfId="0" applyNumberFormat="1" applyFont="1" applyFill="1" applyBorder="1" applyAlignment="1" applyProtection="1">
      <alignment horizontal="center" vertical="center"/>
      <protection/>
    </xf>
    <xf numFmtId="49" fontId="10" fillId="2" borderId="2" xfId="0" applyNumberFormat="1" applyFont="1" applyFill="1" applyBorder="1" applyAlignment="1" applyProtection="1">
      <alignment horizontal="center" vertical="center"/>
      <protection/>
    </xf>
    <xf numFmtId="49" fontId="1" fillId="2" borderId="2" xfId="0" applyNumberFormat="1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justify" wrapText="1"/>
    </xf>
    <xf numFmtId="0" fontId="1" fillId="2" borderId="2" xfId="0" applyFont="1" applyFill="1" applyBorder="1" applyAlignment="1">
      <alignment horizontal="left" vertical="justify" wrapText="1"/>
    </xf>
    <xf numFmtId="0" fontId="0" fillId="2" borderId="4" xfId="0" applyFill="1" applyBorder="1" applyAlignment="1">
      <alignment horizontal="left" vertical="justify"/>
    </xf>
    <xf numFmtId="164" fontId="1" fillId="0" borderId="2" xfId="0" applyNumberFormat="1" applyFont="1" applyFill="1" applyBorder="1" applyAlignment="1" applyProtection="1">
      <alignment horizontal="right" vertical="center"/>
      <protection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 wrapText="1"/>
      <protection/>
    </xf>
    <xf numFmtId="164" fontId="1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  <protection/>
    </xf>
    <xf numFmtId="164" fontId="1" fillId="0" borderId="2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  <protection/>
    </xf>
    <xf numFmtId="164" fontId="1" fillId="2" borderId="2" xfId="0" applyNumberFormat="1" applyFont="1" applyFill="1" applyBorder="1" applyAlignment="1">
      <alignment horizontal="right" vertical="center"/>
    </xf>
    <xf numFmtId="164" fontId="0" fillId="2" borderId="4" xfId="0" applyNumberFormat="1" applyFill="1" applyBorder="1" applyAlignment="1">
      <alignment horizontal="right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64" fontId="1" fillId="2" borderId="2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164" fontId="1" fillId="2" borderId="0" xfId="0" applyNumberFormat="1" applyFont="1" applyFill="1" applyBorder="1" applyAlignment="1" applyProtection="1">
      <alignment horizontal="right" vertical="center"/>
      <protection/>
    </xf>
    <xf numFmtId="164" fontId="1" fillId="2" borderId="0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 applyProtection="1">
      <alignment horizontal="right" vertical="center"/>
      <protection/>
    </xf>
    <xf numFmtId="164" fontId="13" fillId="2" borderId="2" xfId="0" applyNumberFormat="1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 applyProtection="1">
      <alignment horizontal="right" vertical="center"/>
      <protection/>
    </xf>
    <xf numFmtId="49" fontId="0" fillId="2" borderId="0" xfId="0" applyNumberFormat="1" applyFill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0" fontId="0" fillId="2" borderId="0" xfId="0" applyFill="1" applyBorder="1" applyAlignment="1">
      <alignment horizontal="left"/>
    </xf>
    <xf numFmtId="0" fontId="1" fillId="0" borderId="5" xfId="0" applyFont="1" applyBorder="1" applyAlignment="1">
      <alignment horizontal="justify" vertical="justify" wrapText="1"/>
    </xf>
    <xf numFmtId="0" fontId="11" fillId="0" borderId="5" xfId="0" applyFont="1" applyBorder="1" applyAlignment="1">
      <alignment horizontal="justify" vertical="justify"/>
    </xf>
    <xf numFmtId="0" fontId="9" fillId="2" borderId="2" xfId="0" applyNumberFormat="1" applyFont="1" applyFill="1" applyBorder="1" applyAlignment="1">
      <alignment horizontal="justify" vertical="justify" wrapText="1"/>
    </xf>
    <xf numFmtId="0" fontId="9" fillId="2" borderId="2" xfId="0" applyFont="1" applyFill="1" applyBorder="1" applyAlignment="1">
      <alignment horizontal="justify" vertical="justify" wrapText="1"/>
    </xf>
    <xf numFmtId="0" fontId="1" fillId="0" borderId="2" xfId="0" applyNumberFormat="1" applyFont="1" applyFill="1" applyBorder="1" applyAlignment="1" applyProtection="1">
      <alignment horizontal="justify" vertical="justify" wrapText="1"/>
      <protection/>
    </xf>
    <xf numFmtId="1" fontId="1" fillId="0" borderId="2" xfId="0" applyNumberFormat="1" applyFont="1" applyBorder="1" applyAlignment="1">
      <alignment horizontal="justify" vertical="justify" wrapText="1"/>
    </xf>
    <xf numFmtId="0" fontId="9" fillId="0" borderId="2" xfId="0" applyFont="1" applyBorder="1" applyAlignment="1">
      <alignment horizontal="justify" vertical="justify" wrapText="1"/>
    </xf>
    <xf numFmtId="0" fontId="9" fillId="2" borderId="2" xfId="0" applyFont="1" applyFill="1" applyBorder="1" applyAlignment="1">
      <alignment horizontal="justify" vertical="justify" wrapText="1"/>
    </xf>
    <xf numFmtId="49" fontId="1" fillId="0" borderId="2" xfId="0" applyNumberFormat="1" applyFont="1" applyBorder="1" applyAlignment="1">
      <alignment horizontal="justify" vertical="justify" wrapText="1"/>
    </xf>
    <xf numFmtId="49" fontId="1" fillId="2" borderId="2" xfId="0" applyNumberFormat="1" applyFont="1" applyFill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/>
    </xf>
    <xf numFmtId="0" fontId="1" fillId="0" borderId="2" xfId="0" applyNumberFormat="1" applyFont="1" applyFill="1" applyBorder="1" applyAlignment="1" applyProtection="1">
      <alignment horizontal="justify" vertical="justify" wrapText="1"/>
      <protection/>
    </xf>
    <xf numFmtId="0" fontId="9" fillId="0" borderId="2" xfId="0" applyFont="1" applyBorder="1" applyAlignment="1">
      <alignment horizontal="justify" vertical="justify" wrapText="1"/>
    </xf>
    <xf numFmtId="49" fontId="1" fillId="0" borderId="2" xfId="0" applyNumberFormat="1" applyFont="1" applyBorder="1" applyAlignment="1">
      <alignment horizontal="justify" vertical="justify" wrapText="1"/>
    </xf>
    <xf numFmtId="0" fontId="1" fillId="0" borderId="8" xfId="18" applyNumberFormat="1" applyFont="1" applyFill="1" applyBorder="1" applyAlignment="1" applyProtection="1">
      <alignment horizontal="justify" wrapText="1"/>
      <protection hidden="1"/>
    </xf>
    <xf numFmtId="0" fontId="1" fillId="0" borderId="2" xfId="0" applyNumberFormat="1" applyFont="1" applyFill="1" applyBorder="1" applyAlignment="1" applyProtection="1">
      <alignment horizontal="justify" vertical="center" wrapText="1"/>
      <protection/>
    </xf>
    <xf numFmtId="0" fontId="9" fillId="0" borderId="2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2" xfId="0" applyNumberFormat="1" applyFont="1" applyFill="1" applyBorder="1" applyAlignment="1" applyProtection="1">
      <alignment horizontal="justify" vertical="justify" wrapText="1"/>
      <protection/>
    </xf>
    <xf numFmtId="49" fontId="1" fillId="2" borderId="2" xfId="0" applyNumberFormat="1" applyFont="1" applyFill="1" applyBorder="1" applyAlignment="1">
      <alignment horizontal="justify" vertical="justify" wrapText="1"/>
    </xf>
    <xf numFmtId="0" fontId="1" fillId="0" borderId="2" xfId="19" applyNumberFormat="1" applyFont="1" applyFill="1" applyBorder="1" applyAlignment="1" applyProtection="1">
      <alignment horizontal="justify" vertical="justify" wrapText="1"/>
      <protection hidden="1"/>
    </xf>
    <xf numFmtId="0" fontId="1" fillId="0" borderId="2" xfId="18" applyNumberFormat="1" applyFont="1" applyFill="1" applyBorder="1" applyAlignment="1" applyProtection="1">
      <alignment horizontal="justify" vertical="justify" wrapText="1"/>
      <protection hidden="1"/>
    </xf>
    <xf numFmtId="0" fontId="1" fillId="0" borderId="8" xfId="18" applyNumberFormat="1" applyFont="1" applyFill="1" applyBorder="1" applyAlignment="1" applyProtection="1">
      <alignment horizontal="justify" wrapText="1"/>
      <protection hidden="1"/>
    </xf>
    <xf numFmtId="0" fontId="1" fillId="0" borderId="2" xfId="18" applyNumberFormat="1" applyFont="1" applyFill="1" applyBorder="1" applyAlignment="1" applyProtection="1">
      <alignment horizontal="justify" wrapText="1"/>
      <protection hidden="1"/>
    </xf>
    <xf numFmtId="0" fontId="1" fillId="0" borderId="2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center" wrapText="1"/>
    </xf>
    <xf numFmtId="0" fontId="1" fillId="2" borderId="2" xfId="19" applyNumberFormat="1" applyFont="1" applyFill="1" applyBorder="1" applyAlignment="1" applyProtection="1">
      <alignment horizontal="justify" vertical="justify" wrapText="1"/>
      <protection hidden="1"/>
    </xf>
    <xf numFmtId="0" fontId="9" fillId="2" borderId="2" xfId="0" applyFont="1" applyFill="1" applyBorder="1" applyAlignment="1">
      <alignment horizontal="justify" vertical="center" wrapText="1"/>
    </xf>
    <xf numFmtId="0" fontId="1" fillId="2" borderId="2" xfId="0" applyNumberFormat="1" applyFont="1" applyFill="1" applyBorder="1" applyAlignment="1" applyProtection="1">
      <alignment horizontal="justify" vertical="justify" wrapText="1"/>
      <protection/>
    </xf>
    <xf numFmtId="0" fontId="1" fillId="0" borderId="2" xfId="0" applyFont="1" applyBorder="1" applyAlignment="1">
      <alignment horizontal="justify" vertical="top" wrapText="1"/>
    </xf>
    <xf numFmtId="0" fontId="0" fillId="0" borderId="0" xfId="0" applyAlignment="1">
      <alignment horizontal="justify"/>
    </xf>
    <xf numFmtId="1" fontId="1" fillId="2" borderId="2" xfId="0" applyNumberFormat="1" applyFont="1" applyFill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justify" vertical="justify" wrapText="1"/>
    </xf>
    <xf numFmtId="0" fontId="8" fillId="2" borderId="5" xfId="0" applyFont="1" applyFill="1" applyBorder="1" applyAlignment="1">
      <alignment horizontal="justify" vertical="justify" wrapText="1"/>
    </xf>
    <xf numFmtId="0" fontId="12" fillId="2" borderId="5" xfId="0" applyFont="1" applyFill="1" applyBorder="1" applyAlignment="1">
      <alignment horizontal="justify" vertical="justify"/>
    </xf>
    <xf numFmtId="2" fontId="1" fillId="2" borderId="2" xfId="0" applyNumberFormat="1" applyFont="1" applyFill="1" applyBorder="1" applyAlignment="1">
      <alignment horizontal="justify" vertical="justify" wrapText="1"/>
    </xf>
    <xf numFmtId="0" fontId="1" fillId="0" borderId="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164" fontId="1" fillId="2" borderId="2" xfId="0" applyNumberFormat="1" applyFont="1" applyFill="1" applyBorder="1" applyAlignment="1" applyProtection="1">
      <alignment vertical="center"/>
      <protection/>
    </xf>
    <xf numFmtId="164" fontId="1" fillId="2" borderId="2" xfId="0" applyNumberFormat="1" applyFont="1" applyFill="1" applyBorder="1" applyAlignment="1" applyProtection="1">
      <alignment vertical="center"/>
      <protection/>
    </xf>
    <xf numFmtId="0" fontId="9" fillId="0" borderId="2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Fill="1" applyAlignment="1">
      <alignment horizontal="center" vertical="top" wrapText="1"/>
    </xf>
    <xf numFmtId="0" fontId="2" fillId="2" borderId="0" xfId="0" applyFont="1" applyFill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904875</xdr:colOff>
      <xdr:row>0</xdr:row>
      <xdr:rowOff>0</xdr:rowOff>
    </xdr:to>
    <xdr:pic>
      <xdr:nvPicPr>
        <xdr:cNvPr id="1" name="Shap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933450</xdr:colOff>
      <xdr:row>0</xdr:row>
      <xdr:rowOff>0</xdr:rowOff>
    </xdr:to>
    <xdr:pic>
      <xdr:nvPicPr>
        <xdr:cNvPr id="2" name="Shape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10</xdr:col>
      <xdr:colOff>904875</xdr:colOff>
      <xdr:row>0</xdr:row>
      <xdr:rowOff>0</xdr:rowOff>
    </xdr:to>
    <xdr:pic>
      <xdr:nvPicPr>
        <xdr:cNvPr id="3" name="Shape 1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933450</xdr:colOff>
      <xdr:row>0</xdr:row>
      <xdr:rowOff>0</xdr:rowOff>
    </xdr:to>
    <xdr:pic>
      <xdr:nvPicPr>
        <xdr:cNvPr id="4" name="Shap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10</xdr:col>
      <xdr:colOff>904875</xdr:colOff>
      <xdr:row>0</xdr:row>
      <xdr:rowOff>0</xdr:rowOff>
    </xdr:to>
    <xdr:pic>
      <xdr:nvPicPr>
        <xdr:cNvPr id="5" name="Shape 1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933450</xdr:colOff>
      <xdr:row>0</xdr:row>
      <xdr:rowOff>0</xdr:rowOff>
    </xdr:to>
    <xdr:pic>
      <xdr:nvPicPr>
        <xdr:cNvPr id="6" name="Shap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10</xdr:col>
      <xdr:colOff>904875</xdr:colOff>
      <xdr:row>0</xdr:row>
      <xdr:rowOff>0</xdr:rowOff>
    </xdr:to>
    <xdr:pic>
      <xdr:nvPicPr>
        <xdr:cNvPr id="7" name="Shap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933450</xdr:colOff>
      <xdr:row>0</xdr:row>
      <xdr:rowOff>0</xdr:rowOff>
    </xdr:to>
    <xdr:pic>
      <xdr:nvPicPr>
        <xdr:cNvPr id="8" name="Shap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1"/>
  <sheetViews>
    <sheetView showZeros="0" view="pageBreakPreview" zoomScale="85" zoomScaleNormal="75" zoomScaleSheetLayoutView="85" workbookViewId="0" topLeftCell="A2">
      <selection activeCell="C12" sqref="C12"/>
    </sheetView>
  </sheetViews>
  <sheetFormatPr defaultColWidth="9.00390625" defaultRowHeight="12.75"/>
  <cols>
    <col min="1" max="1" width="80.00390625" style="0" customWidth="1"/>
    <col min="2" max="2" width="18.125" style="0" customWidth="1"/>
    <col min="3" max="3" width="17.25390625" style="0" customWidth="1"/>
    <col min="4" max="4" width="18.25390625" style="0" hidden="1" customWidth="1"/>
    <col min="5" max="7" width="12.75390625" style="0" hidden="1" customWidth="1"/>
    <col min="8" max="8" width="18.375" style="0" customWidth="1"/>
  </cols>
  <sheetData>
    <row r="1" ht="16.5" customHeight="1">
      <c r="D1" s="8"/>
    </row>
    <row r="2" spans="3:8" ht="19.5" customHeight="1">
      <c r="C2" s="25" t="s">
        <v>325</v>
      </c>
      <c r="D2" s="8"/>
      <c r="E2" s="25"/>
      <c r="F2" s="25"/>
      <c r="G2" s="25"/>
      <c r="H2" s="8"/>
    </row>
    <row r="3" spans="3:8" ht="18.75" customHeight="1">
      <c r="C3" s="25" t="s">
        <v>420</v>
      </c>
      <c r="D3" s="8"/>
      <c r="E3" s="25"/>
      <c r="F3" s="25"/>
      <c r="G3" s="25"/>
      <c r="H3" s="8"/>
    </row>
    <row r="4" spans="3:8" ht="20.25" customHeight="1">
      <c r="C4" s="25" t="s">
        <v>421</v>
      </c>
      <c r="D4" s="8"/>
      <c r="E4" s="25"/>
      <c r="F4" s="25"/>
      <c r="G4" s="25"/>
      <c r="H4" s="8"/>
    </row>
    <row r="5" spans="2:9" ht="16.5" customHeight="1">
      <c r="B5" s="13"/>
      <c r="C5" s="25" t="s">
        <v>502</v>
      </c>
      <c r="D5" s="25"/>
      <c r="E5" s="25"/>
      <c r="F5" s="25"/>
      <c r="G5" s="25"/>
      <c r="H5" s="25"/>
      <c r="I5" s="114"/>
    </row>
    <row r="6" spans="3:4" ht="16.5" customHeight="1" hidden="1">
      <c r="C6" s="8"/>
      <c r="D6" s="8"/>
    </row>
    <row r="7" ht="16.5" customHeight="1" hidden="1">
      <c r="C7" s="25"/>
    </row>
    <row r="8" ht="16.5" customHeight="1" hidden="1">
      <c r="C8" s="25"/>
    </row>
    <row r="9" ht="16.5" customHeight="1" hidden="1">
      <c r="C9" s="25"/>
    </row>
    <row r="10" ht="16.5" customHeight="1" hidden="1">
      <c r="C10" s="25"/>
    </row>
    <row r="11" spans="1:3" ht="16.5" hidden="1">
      <c r="A11" s="2"/>
      <c r="B11" s="2"/>
      <c r="C11" s="25"/>
    </row>
    <row r="12" spans="1:4" ht="15.75" customHeight="1">
      <c r="A12" s="3"/>
      <c r="B12" s="3"/>
      <c r="C12" s="1"/>
      <c r="D12" s="1"/>
    </row>
    <row r="13" spans="1:8" ht="17.25" customHeight="1">
      <c r="A13" s="3"/>
      <c r="B13" s="3"/>
      <c r="C13" s="25" t="s">
        <v>419</v>
      </c>
      <c r="D13" s="8"/>
      <c r="E13" s="25"/>
      <c r="F13" s="25"/>
      <c r="G13" s="25"/>
      <c r="H13" s="8"/>
    </row>
    <row r="14" spans="1:8" ht="19.5" customHeight="1">
      <c r="A14" s="3"/>
      <c r="B14" s="3"/>
      <c r="C14" s="25" t="s">
        <v>420</v>
      </c>
      <c r="D14" s="8"/>
      <c r="E14" s="25"/>
      <c r="F14" s="25"/>
      <c r="G14" s="25"/>
      <c r="H14" s="8"/>
    </row>
    <row r="15" spans="1:8" ht="20.25" customHeight="1">
      <c r="A15" s="3"/>
      <c r="B15" s="3"/>
      <c r="C15" s="25" t="s">
        <v>421</v>
      </c>
      <c r="D15" s="8"/>
      <c r="E15" s="25"/>
      <c r="F15" s="25"/>
      <c r="G15" s="25"/>
      <c r="H15" s="8"/>
    </row>
    <row r="16" spans="1:9" ht="17.25" customHeight="1">
      <c r="A16" s="3"/>
      <c r="B16" s="3"/>
      <c r="C16" s="25" t="s">
        <v>422</v>
      </c>
      <c r="D16" s="25"/>
      <c r="E16" s="25"/>
      <c r="F16" s="25"/>
      <c r="G16" s="25"/>
      <c r="H16" s="25"/>
      <c r="I16" s="114"/>
    </row>
    <row r="17" spans="1:4" ht="10.5" customHeight="1">
      <c r="A17" s="3"/>
      <c r="B17" s="3"/>
      <c r="C17" s="1"/>
      <c r="D17" s="1"/>
    </row>
    <row r="18" spans="1:4" ht="10.5" customHeight="1">
      <c r="A18" s="3"/>
      <c r="B18" s="3"/>
      <c r="C18" s="1"/>
      <c r="D18" s="1"/>
    </row>
    <row r="19" spans="1:4" ht="18.75" customHeight="1">
      <c r="A19" s="162" t="s">
        <v>304</v>
      </c>
      <c r="B19" s="163"/>
      <c r="C19" s="163"/>
      <c r="D19" s="163"/>
    </row>
    <row r="20" spans="1:4" ht="21" customHeight="1">
      <c r="A20" s="164" t="s">
        <v>605</v>
      </c>
      <c r="B20" s="165"/>
      <c r="C20" s="165"/>
      <c r="D20" s="165"/>
    </row>
    <row r="21" spans="1:4" ht="6.75" customHeight="1" hidden="1">
      <c r="A21" s="4"/>
      <c r="B21" s="4"/>
      <c r="C21" s="4"/>
      <c r="D21" s="4"/>
    </row>
    <row r="22" spans="1:4" ht="16.5" customHeight="1" hidden="1">
      <c r="A22" s="2" t="s">
        <v>19</v>
      </c>
      <c r="B22" s="2"/>
      <c r="C22" s="2"/>
      <c r="D22" s="2"/>
    </row>
    <row r="23" spans="1:4" ht="15" customHeight="1">
      <c r="A23" s="2"/>
      <c r="B23" s="2"/>
      <c r="C23" s="2"/>
      <c r="D23" s="17"/>
    </row>
    <row r="24" spans="1:8" ht="16.5">
      <c r="A24" s="2"/>
      <c r="B24" s="2"/>
      <c r="C24" s="2"/>
      <c r="D24" s="34"/>
      <c r="H24" s="34" t="s">
        <v>604</v>
      </c>
    </row>
    <row r="25" spans="1:8" ht="36.75" customHeight="1">
      <c r="A25" s="166" t="s">
        <v>20</v>
      </c>
      <c r="B25" s="166" t="s">
        <v>21</v>
      </c>
      <c r="C25" s="166" t="s">
        <v>22</v>
      </c>
      <c r="D25" s="160" t="s">
        <v>17</v>
      </c>
      <c r="E25" s="160" t="s">
        <v>16</v>
      </c>
      <c r="F25" s="160" t="s">
        <v>413</v>
      </c>
      <c r="G25" s="160" t="s">
        <v>16</v>
      </c>
      <c r="H25" s="160" t="s">
        <v>435</v>
      </c>
    </row>
    <row r="26" spans="1:8" ht="17.25" customHeight="1">
      <c r="A26" s="167"/>
      <c r="B26" s="167"/>
      <c r="C26" s="167"/>
      <c r="D26" s="161"/>
      <c r="E26" s="161"/>
      <c r="F26" s="168"/>
      <c r="G26" s="161"/>
      <c r="H26" s="161"/>
    </row>
    <row r="27" spans="1:8" ht="8.25" customHeight="1" hidden="1">
      <c r="A27" s="9"/>
      <c r="B27" s="10"/>
      <c r="C27" s="11"/>
      <c r="D27" s="10"/>
      <c r="E27" s="102"/>
      <c r="F27" s="24"/>
      <c r="G27" s="24"/>
      <c r="H27" s="103"/>
    </row>
    <row r="28" spans="1:8" ht="21" customHeight="1">
      <c r="A28" s="121" t="s">
        <v>23</v>
      </c>
      <c r="B28" s="57" t="s">
        <v>24</v>
      </c>
      <c r="C28" s="57"/>
      <c r="D28" s="91">
        <f>SUM(D29:D36)</f>
        <v>302284.3</v>
      </c>
      <c r="E28" s="91">
        <f>SUM(E29:E36)</f>
        <v>-20007.999999999996</v>
      </c>
      <c r="F28" s="91">
        <f>D28+E28</f>
        <v>282276.3</v>
      </c>
      <c r="G28" s="91">
        <f>SUM(G29:G36)</f>
        <v>21169.800000000003</v>
      </c>
      <c r="H28" s="91">
        <f>F28+G28</f>
        <v>303446.1</v>
      </c>
    </row>
    <row r="29" spans="1:8" ht="34.5" customHeight="1">
      <c r="A29" s="122" t="s">
        <v>88</v>
      </c>
      <c r="B29" s="57" t="s">
        <v>24</v>
      </c>
      <c r="C29" s="57" t="s">
        <v>25</v>
      </c>
      <c r="D29" s="91">
        <f>'прил.7'!G19</f>
        <v>2114.3</v>
      </c>
      <c r="E29" s="91">
        <f>'прил.7'!H19</f>
        <v>0</v>
      </c>
      <c r="F29" s="91">
        <f aca="true" t="shared" si="0" ref="F29:F86">D29+E29</f>
        <v>2114.3</v>
      </c>
      <c r="G29" s="91">
        <f>'прил.7'!J19</f>
        <v>185</v>
      </c>
      <c r="H29" s="91">
        <f aca="true" t="shared" si="1" ref="H29:H86">F29+G29</f>
        <v>2299.3</v>
      </c>
    </row>
    <row r="30" spans="1:8" ht="53.25" customHeight="1">
      <c r="A30" s="121" t="s">
        <v>708</v>
      </c>
      <c r="B30" s="57" t="s">
        <v>24</v>
      </c>
      <c r="C30" s="57" t="s">
        <v>26</v>
      </c>
      <c r="D30" s="92">
        <f>'прил.7'!G23</f>
        <v>18178.5</v>
      </c>
      <c r="E30" s="92">
        <f>'прил.7'!H23</f>
        <v>16.8</v>
      </c>
      <c r="F30" s="91">
        <f t="shared" si="0"/>
        <v>18195.3</v>
      </c>
      <c r="G30" s="92">
        <f>'прил.7'!J23</f>
        <v>1307.2</v>
      </c>
      <c r="H30" s="91">
        <f t="shared" si="1"/>
        <v>19502.5</v>
      </c>
    </row>
    <row r="31" spans="1:8" ht="51.75" customHeight="1">
      <c r="A31" s="123" t="s">
        <v>97</v>
      </c>
      <c r="B31" s="57" t="s">
        <v>24</v>
      </c>
      <c r="C31" s="57" t="s">
        <v>27</v>
      </c>
      <c r="D31" s="91">
        <f>'прил.7'!G31</f>
        <v>93465.7</v>
      </c>
      <c r="E31" s="91">
        <f>'прил.7'!H31</f>
        <v>-358.4000000000001</v>
      </c>
      <c r="F31" s="91">
        <f t="shared" si="0"/>
        <v>93107.3</v>
      </c>
      <c r="G31" s="91">
        <f>'прил.7'!J31</f>
        <v>9383.2</v>
      </c>
      <c r="H31" s="91">
        <f t="shared" si="1"/>
        <v>102490.5</v>
      </c>
    </row>
    <row r="32" spans="1:8" ht="19.5" customHeight="1">
      <c r="A32" s="123" t="s">
        <v>709</v>
      </c>
      <c r="B32" s="57" t="s">
        <v>24</v>
      </c>
      <c r="C32" s="57" t="s">
        <v>108</v>
      </c>
      <c r="D32" s="91">
        <f>'прил.7'!G42</f>
        <v>0</v>
      </c>
      <c r="E32" s="91">
        <f>'прил.7'!H42</f>
        <v>0</v>
      </c>
      <c r="F32" s="91">
        <f t="shared" si="0"/>
        <v>0</v>
      </c>
      <c r="G32" s="91">
        <f>'прил.7'!J42</f>
        <v>27.1</v>
      </c>
      <c r="H32" s="91">
        <f t="shared" si="1"/>
        <v>27.1</v>
      </c>
    </row>
    <row r="33" spans="1:8" ht="34.5" customHeight="1">
      <c r="A33" s="121" t="s">
        <v>189</v>
      </c>
      <c r="B33" s="57" t="s">
        <v>24</v>
      </c>
      <c r="C33" s="57" t="s">
        <v>28</v>
      </c>
      <c r="D33" s="91">
        <f>'прил.7'!G45</f>
        <v>26238.7</v>
      </c>
      <c r="E33" s="91">
        <f>'прил.7'!H45</f>
        <v>15.4</v>
      </c>
      <c r="F33" s="91">
        <f t="shared" si="0"/>
        <v>26254.100000000002</v>
      </c>
      <c r="G33" s="91">
        <f>'прил.7'!J45</f>
        <v>2563.8</v>
      </c>
      <c r="H33" s="91">
        <f t="shared" si="1"/>
        <v>28817.9</v>
      </c>
    </row>
    <row r="34" spans="1:8" ht="18" customHeight="1">
      <c r="A34" s="127" t="s">
        <v>634</v>
      </c>
      <c r="B34" s="57" t="s">
        <v>24</v>
      </c>
      <c r="C34" s="57" t="s">
        <v>625</v>
      </c>
      <c r="D34" s="91">
        <f>'прил.7'!G52</f>
        <v>2005.6</v>
      </c>
      <c r="E34" s="91">
        <f>'прил.7'!H52</f>
        <v>0</v>
      </c>
      <c r="F34" s="91">
        <f t="shared" si="0"/>
        <v>2005.6</v>
      </c>
      <c r="G34" s="91">
        <f>'прил.7'!J52</f>
        <v>-1341.8</v>
      </c>
      <c r="H34" s="91">
        <f t="shared" si="1"/>
        <v>663.8</v>
      </c>
    </row>
    <row r="35" spans="1:8" ht="18" customHeight="1">
      <c r="A35" s="121" t="s">
        <v>395</v>
      </c>
      <c r="B35" s="57" t="s">
        <v>24</v>
      </c>
      <c r="C35" s="57" t="s">
        <v>111</v>
      </c>
      <c r="D35" s="91">
        <f>'прил.7'!G56</f>
        <v>40643.399999999994</v>
      </c>
      <c r="E35" s="91">
        <f>'прил.7'!H56</f>
        <v>-22066.199999999997</v>
      </c>
      <c r="F35" s="91">
        <f t="shared" si="0"/>
        <v>18577.199999999997</v>
      </c>
      <c r="G35" s="91">
        <f>'прил.7'!J56</f>
        <v>-6186.1</v>
      </c>
      <c r="H35" s="91">
        <f t="shared" si="1"/>
        <v>12391.099999999997</v>
      </c>
    </row>
    <row r="36" spans="1:8" ht="19.5" customHeight="1">
      <c r="A36" s="121" t="s">
        <v>397</v>
      </c>
      <c r="B36" s="57" t="s">
        <v>24</v>
      </c>
      <c r="C36" s="57" t="s">
        <v>606</v>
      </c>
      <c r="D36" s="91">
        <f>'прил.7'!G60</f>
        <v>119638.09999999999</v>
      </c>
      <c r="E36" s="91">
        <f>'прил.7'!H60</f>
        <v>2384.4</v>
      </c>
      <c r="F36" s="91">
        <f t="shared" si="0"/>
        <v>122022.49999999999</v>
      </c>
      <c r="G36" s="91">
        <f>'прил.7'!J60</f>
        <v>15231.400000000001</v>
      </c>
      <c r="H36" s="91">
        <f t="shared" si="1"/>
        <v>137253.9</v>
      </c>
    </row>
    <row r="37" spans="1:8" ht="34.5" customHeight="1">
      <c r="A37" s="121" t="s">
        <v>274</v>
      </c>
      <c r="B37" s="57" t="s">
        <v>26</v>
      </c>
      <c r="C37" s="57"/>
      <c r="D37" s="91">
        <f>SUM(D38:D40)</f>
        <v>61553.2</v>
      </c>
      <c r="E37" s="91">
        <f>SUM(E38:E40)</f>
        <v>44.2</v>
      </c>
      <c r="F37" s="91">
        <f t="shared" si="0"/>
        <v>61597.399999999994</v>
      </c>
      <c r="G37" s="91">
        <f>SUM(G38:G40)</f>
        <v>3373.8999999999996</v>
      </c>
      <c r="H37" s="91">
        <f t="shared" si="1"/>
        <v>64971.299999999996</v>
      </c>
    </row>
    <row r="38" spans="1:8" ht="19.5" customHeight="1">
      <c r="A38" s="121" t="s">
        <v>722</v>
      </c>
      <c r="B38" s="57" t="s">
        <v>26</v>
      </c>
      <c r="C38" s="57" t="s">
        <v>25</v>
      </c>
      <c r="D38" s="91">
        <f>'прил.7'!G101</f>
        <v>23212.2</v>
      </c>
      <c r="E38" s="91">
        <f>'прил.7'!H101</f>
        <v>0</v>
      </c>
      <c r="F38" s="91">
        <f t="shared" si="0"/>
        <v>23212.2</v>
      </c>
      <c r="G38" s="91">
        <f>'прил.7'!J101</f>
        <v>-489.50000000000045</v>
      </c>
      <c r="H38" s="91">
        <f t="shared" si="1"/>
        <v>22722.7</v>
      </c>
    </row>
    <row r="39" spans="1:8" ht="36.75" customHeight="1">
      <c r="A39" s="121" t="s">
        <v>725</v>
      </c>
      <c r="B39" s="57" t="s">
        <v>26</v>
      </c>
      <c r="C39" s="57" t="s">
        <v>106</v>
      </c>
      <c r="D39" s="91">
        <f>'прил.7'!G113</f>
        <v>38341</v>
      </c>
      <c r="E39" s="91">
        <f>'прил.7'!H113</f>
        <v>44.2</v>
      </c>
      <c r="F39" s="91">
        <f t="shared" si="0"/>
        <v>38385.2</v>
      </c>
      <c r="G39" s="91">
        <f>'прил.7'!J113</f>
        <v>3863.4</v>
      </c>
      <c r="H39" s="91">
        <f t="shared" si="1"/>
        <v>42248.6</v>
      </c>
    </row>
    <row r="40" spans="1:8" ht="33" customHeight="1" hidden="1">
      <c r="A40" s="121" t="s">
        <v>305</v>
      </c>
      <c r="B40" s="57" t="s">
        <v>26</v>
      </c>
      <c r="C40" s="57" t="s">
        <v>659</v>
      </c>
      <c r="D40" s="91">
        <f>'прил.7'!G123</f>
        <v>0</v>
      </c>
      <c r="E40" s="91">
        <f>'прил.7'!H123</f>
        <v>0</v>
      </c>
      <c r="F40" s="91">
        <f t="shared" si="0"/>
        <v>0</v>
      </c>
      <c r="G40" s="91">
        <f>'прил.7'!J123</f>
        <v>0</v>
      </c>
      <c r="H40" s="91">
        <f t="shared" si="1"/>
        <v>0</v>
      </c>
    </row>
    <row r="41" spans="1:8" ht="19.5" customHeight="1">
      <c r="A41" s="121" t="s">
        <v>107</v>
      </c>
      <c r="B41" s="57" t="s">
        <v>27</v>
      </c>
      <c r="C41" s="57"/>
      <c r="D41" s="91">
        <f>SUM(D42:D45)</f>
        <v>148011.90000000002</v>
      </c>
      <c r="E41" s="91">
        <f>SUM(E42:E45)</f>
        <v>-2237</v>
      </c>
      <c r="F41" s="91">
        <f t="shared" si="0"/>
        <v>145774.90000000002</v>
      </c>
      <c r="G41" s="91">
        <f>SUM(G42:G45)</f>
        <v>65277.8</v>
      </c>
      <c r="H41" s="91">
        <f t="shared" si="1"/>
        <v>211052.7</v>
      </c>
    </row>
    <row r="42" spans="1:8" ht="19.5" customHeight="1">
      <c r="A42" s="130" t="s">
        <v>727</v>
      </c>
      <c r="B42" s="57" t="s">
        <v>27</v>
      </c>
      <c r="C42" s="57" t="s">
        <v>24</v>
      </c>
      <c r="D42" s="91">
        <f>'прил.7'!G127</f>
        <v>1418.3</v>
      </c>
      <c r="E42" s="91">
        <f>'прил.7'!H127</f>
        <v>1908.8</v>
      </c>
      <c r="F42" s="91">
        <f t="shared" si="0"/>
        <v>3327.1</v>
      </c>
      <c r="G42" s="91">
        <f>'прил.7'!J127</f>
        <v>4847.8</v>
      </c>
      <c r="H42" s="91">
        <f t="shared" si="1"/>
        <v>8174.9</v>
      </c>
    </row>
    <row r="43" spans="1:8" ht="19.5" customHeight="1">
      <c r="A43" s="124" t="s">
        <v>61</v>
      </c>
      <c r="B43" s="57" t="s">
        <v>27</v>
      </c>
      <c r="C43" s="57" t="s">
        <v>109</v>
      </c>
      <c r="D43" s="91"/>
      <c r="E43" s="91"/>
      <c r="F43" s="91"/>
      <c r="G43" s="91">
        <f>'прил.7'!J136</f>
        <v>1500</v>
      </c>
      <c r="H43" s="91">
        <f t="shared" si="1"/>
        <v>1500</v>
      </c>
    </row>
    <row r="44" spans="1:8" ht="16.5" customHeight="1">
      <c r="A44" s="121" t="s">
        <v>728</v>
      </c>
      <c r="B44" s="57" t="s">
        <v>27</v>
      </c>
      <c r="C44" s="57" t="s">
        <v>589</v>
      </c>
      <c r="D44" s="91">
        <f>'прил.7'!G140</f>
        <v>45020</v>
      </c>
      <c r="E44" s="91">
        <f>'прил.7'!H140</f>
        <v>1195.4</v>
      </c>
      <c r="F44" s="91">
        <f t="shared" si="0"/>
        <v>46215.4</v>
      </c>
      <c r="G44" s="91">
        <f>'прил.7'!J140</f>
        <v>2332</v>
      </c>
      <c r="H44" s="91">
        <f t="shared" si="1"/>
        <v>48547.4</v>
      </c>
    </row>
    <row r="45" spans="1:8" ht="21" customHeight="1">
      <c r="A45" s="121" t="s">
        <v>538</v>
      </c>
      <c r="B45" s="57" t="s">
        <v>27</v>
      </c>
      <c r="C45" s="57" t="s">
        <v>626</v>
      </c>
      <c r="D45" s="91">
        <f>'прил.7'!G144</f>
        <v>101573.6</v>
      </c>
      <c r="E45" s="91">
        <f>'прил.7'!H144</f>
        <v>-5341.2</v>
      </c>
      <c r="F45" s="91">
        <f t="shared" si="0"/>
        <v>96232.40000000001</v>
      </c>
      <c r="G45" s="91">
        <f>'прил.7'!J144</f>
        <v>56598</v>
      </c>
      <c r="H45" s="91">
        <f t="shared" si="1"/>
        <v>152830.40000000002</v>
      </c>
    </row>
    <row r="46" spans="1:8" ht="21" customHeight="1">
      <c r="A46" s="121" t="s">
        <v>112</v>
      </c>
      <c r="B46" s="57" t="s">
        <v>108</v>
      </c>
      <c r="C46" s="57"/>
      <c r="D46" s="91">
        <f>SUM(D47:D50)</f>
        <v>1227383.7</v>
      </c>
      <c r="E46" s="91">
        <f>SUM(E47:E50)</f>
        <v>-35395.200000000004</v>
      </c>
      <c r="F46" s="91">
        <f t="shared" si="0"/>
        <v>1191988.5</v>
      </c>
      <c r="G46" s="91">
        <f>SUM(G47:G50)</f>
        <v>106702.3</v>
      </c>
      <c r="H46" s="91">
        <f t="shared" si="1"/>
        <v>1298690.8</v>
      </c>
    </row>
    <row r="47" spans="1:8" ht="16.5">
      <c r="A47" s="121" t="s">
        <v>240</v>
      </c>
      <c r="B47" s="57" t="s">
        <v>108</v>
      </c>
      <c r="C47" s="57" t="s">
        <v>24</v>
      </c>
      <c r="D47" s="91">
        <f>'прил.7'!G173</f>
        <v>54739.1</v>
      </c>
      <c r="E47" s="91">
        <f>'прил.7'!H173</f>
        <v>4000</v>
      </c>
      <c r="F47" s="91">
        <f t="shared" si="0"/>
        <v>58739.1</v>
      </c>
      <c r="G47" s="91">
        <f>'прил.7'!J173</f>
        <v>20200</v>
      </c>
      <c r="H47" s="91">
        <f t="shared" si="1"/>
        <v>78939.1</v>
      </c>
    </row>
    <row r="48" spans="1:8" ht="16.5">
      <c r="A48" s="121" t="s">
        <v>738</v>
      </c>
      <c r="B48" s="57" t="s">
        <v>108</v>
      </c>
      <c r="C48" s="57" t="s">
        <v>25</v>
      </c>
      <c r="D48" s="91">
        <f>'прил.7'!G214</f>
        <v>33500</v>
      </c>
      <c r="E48" s="91">
        <f>'прил.7'!H214</f>
        <v>4400</v>
      </c>
      <c r="F48" s="91">
        <f t="shared" si="0"/>
        <v>37900</v>
      </c>
      <c r="G48" s="91">
        <f>'прил.7'!J214</f>
        <v>-2500</v>
      </c>
      <c r="H48" s="91">
        <f t="shared" si="1"/>
        <v>35400</v>
      </c>
    </row>
    <row r="49" spans="1:8" ht="16.5">
      <c r="A49" s="127" t="s">
        <v>741</v>
      </c>
      <c r="B49" s="57" t="s">
        <v>108</v>
      </c>
      <c r="C49" s="57" t="s">
        <v>26</v>
      </c>
      <c r="D49" s="91">
        <f>'прил.7'!G238</f>
        <v>1123171.9</v>
      </c>
      <c r="E49" s="91">
        <f>'прил.7'!H238</f>
        <v>-43799.200000000004</v>
      </c>
      <c r="F49" s="91">
        <f t="shared" si="0"/>
        <v>1079372.7</v>
      </c>
      <c r="G49" s="91">
        <f>'прил.7'!J238</f>
        <v>87377.3</v>
      </c>
      <c r="H49" s="91">
        <f t="shared" si="1"/>
        <v>1166750</v>
      </c>
    </row>
    <row r="50" spans="1:8" ht="18.75" customHeight="1">
      <c r="A50" s="121" t="s">
        <v>505</v>
      </c>
      <c r="B50" s="57" t="s">
        <v>108</v>
      </c>
      <c r="C50" s="57" t="s">
        <v>108</v>
      </c>
      <c r="D50" s="91">
        <f>'прил.7'!G283</f>
        <v>15972.699999999999</v>
      </c>
      <c r="E50" s="91">
        <f>'прил.7'!H283</f>
        <v>4</v>
      </c>
      <c r="F50" s="91">
        <f t="shared" si="0"/>
        <v>15976.699999999999</v>
      </c>
      <c r="G50" s="91">
        <f>'прил.7'!J283</f>
        <v>1625</v>
      </c>
      <c r="H50" s="91">
        <f t="shared" si="1"/>
        <v>17601.699999999997</v>
      </c>
    </row>
    <row r="51" spans="1:8" ht="16.5">
      <c r="A51" s="121" t="s">
        <v>202</v>
      </c>
      <c r="B51" s="57" t="s">
        <v>28</v>
      </c>
      <c r="C51" s="57"/>
      <c r="D51" s="91">
        <f>SUM(D53,D52)</f>
        <v>18767.2</v>
      </c>
      <c r="E51" s="91">
        <f>SUM(E53,E52)</f>
        <v>-2988.1</v>
      </c>
      <c r="F51" s="91">
        <f t="shared" si="0"/>
        <v>15779.1</v>
      </c>
      <c r="G51" s="91">
        <f>SUM(G53,G52)</f>
        <v>928</v>
      </c>
      <c r="H51" s="91">
        <f t="shared" si="1"/>
        <v>16707.1</v>
      </c>
    </row>
    <row r="52" spans="1:8" ht="18" customHeight="1">
      <c r="A52" s="131" t="s">
        <v>764</v>
      </c>
      <c r="B52" s="57" t="s">
        <v>28</v>
      </c>
      <c r="C52" s="57" t="s">
        <v>26</v>
      </c>
      <c r="D52" s="91">
        <f>'прил.7'!G288</f>
        <v>2018.4</v>
      </c>
      <c r="E52" s="91">
        <f>'прил.7'!H288</f>
        <v>0</v>
      </c>
      <c r="F52" s="91">
        <f t="shared" si="0"/>
        <v>2018.4</v>
      </c>
      <c r="G52" s="91">
        <f>'прил.7'!J288</f>
        <v>0</v>
      </c>
      <c r="H52" s="91">
        <f t="shared" si="1"/>
        <v>2018.4</v>
      </c>
    </row>
    <row r="53" spans="1:8" ht="18.75" customHeight="1">
      <c r="A53" s="121" t="s">
        <v>765</v>
      </c>
      <c r="B53" s="57" t="s">
        <v>28</v>
      </c>
      <c r="C53" s="57" t="s">
        <v>108</v>
      </c>
      <c r="D53" s="91">
        <f>'прил.7'!G292</f>
        <v>16748.8</v>
      </c>
      <c r="E53" s="91">
        <f>'прил.7'!H292</f>
        <v>-2988.1</v>
      </c>
      <c r="F53" s="91">
        <f t="shared" si="0"/>
        <v>13760.699999999999</v>
      </c>
      <c r="G53" s="91">
        <f>'прил.7'!J292</f>
        <v>928</v>
      </c>
      <c r="H53" s="91">
        <f t="shared" si="1"/>
        <v>14688.699999999999</v>
      </c>
    </row>
    <row r="54" spans="1:8" ht="16.5">
      <c r="A54" s="121" t="s">
        <v>205</v>
      </c>
      <c r="B54" s="57" t="s">
        <v>625</v>
      </c>
      <c r="C54" s="57"/>
      <c r="D54" s="91">
        <f>SUM(D55:D60)</f>
        <v>2320200.8000000003</v>
      </c>
      <c r="E54" s="91">
        <f>SUM(E55:E60)</f>
        <v>69020.40000000001</v>
      </c>
      <c r="F54" s="91">
        <f t="shared" si="0"/>
        <v>2389221.2</v>
      </c>
      <c r="G54" s="91">
        <f>SUM(G55:G60)</f>
        <v>143733.19999999998</v>
      </c>
      <c r="H54" s="91">
        <f t="shared" si="1"/>
        <v>2532954.4000000004</v>
      </c>
    </row>
    <row r="55" spans="1:8" ht="16.5">
      <c r="A55" s="121" t="s">
        <v>556</v>
      </c>
      <c r="B55" s="57" t="s">
        <v>625</v>
      </c>
      <c r="C55" s="57" t="s">
        <v>24</v>
      </c>
      <c r="D55" s="91">
        <f>'прил.7'!G306</f>
        <v>872919.7000000001</v>
      </c>
      <c r="E55" s="91">
        <f>'прил.7'!H306</f>
        <v>49689.3</v>
      </c>
      <c r="F55" s="91">
        <f t="shared" si="0"/>
        <v>922609.0000000001</v>
      </c>
      <c r="G55" s="91">
        <f>'прил.7'!J306</f>
        <v>61872.7</v>
      </c>
      <c r="H55" s="91">
        <f t="shared" si="1"/>
        <v>984481.7000000001</v>
      </c>
    </row>
    <row r="56" spans="1:8" ht="16.5">
      <c r="A56" s="121" t="s">
        <v>773</v>
      </c>
      <c r="B56" s="57" t="s">
        <v>625</v>
      </c>
      <c r="C56" s="57" t="s">
        <v>25</v>
      </c>
      <c r="D56" s="91">
        <f>'прил.7'!G316</f>
        <v>1200932.1</v>
      </c>
      <c r="E56" s="91">
        <f>'прил.7'!H316</f>
        <v>13651.100000000002</v>
      </c>
      <c r="F56" s="91">
        <f t="shared" si="0"/>
        <v>1214583.2000000002</v>
      </c>
      <c r="G56" s="91">
        <f>'прил.7'!J316</f>
        <v>43822.399999999994</v>
      </c>
      <c r="H56" s="91">
        <f t="shared" si="1"/>
        <v>1258405.6</v>
      </c>
    </row>
    <row r="57" spans="1:8" ht="16.5" hidden="1">
      <c r="A57" s="123" t="s">
        <v>91</v>
      </c>
      <c r="B57" s="57" t="s">
        <v>625</v>
      </c>
      <c r="C57" s="57" t="s">
        <v>26</v>
      </c>
      <c r="D57" s="91">
        <f>'прил.7'!G355</f>
        <v>0</v>
      </c>
      <c r="E57" s="91">
        <f>'прил.7'!H355</f>
        <v>0</v>
      </c>
      <c r="F57" s="91">
        <f t="shared" si="0"/>
        <v>0</v>
      </c>
      <c r="G57" s="91">
        <f>'прил.7'!J355</f>
        <v>0</v>
      </c>
      <c r="H57" s="91">
        <f t="shared" si="1"/>
        <v>0</v>
      </c>
    </row>
    <row r="58" spans="1:8" ht="33" customHeight="1" hidden="1">
      <c r="A58" s="121" t="s">
        <v>661</v>
      </c>
      <c r="B58" s="57" t="s">
        <v>625</v>
      </c>
      <c r="C58" s="57" t="s">
        <v>108</v>
      </c>
      <c r="D58" s="91">
        <f>'прил.7'!G359</f>
        <v>0</v>
      </c>
      <c r="E58" s="91">
        <f>'прил.7'!H359</f>
        <v>0</v>
      </c>
      <c r="F58" s="91">
        <f t="shared" si="0"/>
        <v>0</v>
      </c>
      <c r="G58" s="91">
        <f>'прил.7'!J359</f>
        <v>0</v>
      </c>
      <c r="H58" s="91">
        <f t="shared" si="1"/>
        <v>0</v>
      </c>
    </row>
    <row r="59" spans="1:8" ht="16.5">
      <c r="A59" s="121" t="s">
        <v>307</v>
      </c>
      <c r="B59" s="57" t="s">
        <v>625</v>
      </c>
      <c r="C59" s="57" t="s">
        <v>625</v>
      </c>
      <c r="D59" s="91">
        <f>'прил.7'!G365</f>
        <v>48642.399999999994</v>
      </c>
      <c r="E59" s="91">
        <f>'прил.7'!H365</f>
        <v>16805</v>
      </c>
      <c r="F59" s="91">
        <f t="shared" si="0"/>
        <v>65447.399999999994</v>
      </c>
      <c r="G59" s="91">
        <f>'прил.7'!J365</f>
        <v>21770.1</v>
      </c>
      <c r="H59" s="91">
        <f t="shared" si="1"/>
        <v>87217.5</v>
      </c>
    </row>
    <row r="60" spans="1:8" ht="16.5">
      <c r="A60" s="121" t="s">
        <v>781</v>
      </c>
      <c r="B60" s="57" t="s">
        <v>625</v>
      </c>
      <c r="C60" s="57" t="s">
        <v>106</v>
      </c>
      <c r="D60" s="91">
        <f>'прил.7'!G396</f>
        <v>197706.6</v>
      </c>
      <c r="E60" s="91">
        <f>'прил.7'!H396</f>
        <v>-11125</v>
      </c>
      <c r="F60" s="91">
        <f t="shared" si="0"/>
        <v>186581.6</v>
      </c>
      <c r="G60" s="91">
        <f>'прил.7'!J396</f>
        <v>16268</v>
      </c>
      <c r="H60" s="91">
        <f t="shared" si="1"/>
        <v>202849.6</v>
      </c>
    </row>
    <row r="61" spans="1:8" ht="17.25" customHeight="1">
      <c r="A61" s="121" t="s">
        <v>428</v>
      </c>
      <c r="B61" s="57" t="s">
        <v>109</v>
      </c>
      <c r="C61" s="57"/>
      <c r="D61" s="91">
        <f>SUM(D62:D63)</f>
        <v>222880.90000000002</v>
      </c>
      <c r="E61" s="91">
        <f>SUM(E62:E63)</f>
        <v>127.10000000000001</v>
      </c>
      <c r="F61" s="91">
        <f t="shared" si="0"/>
        <v>223008.00000000003</v>
      </c>
      <c r="G61" s="91">
        <f>SUM(G62:G63)</f>
        <v>23450.5</v>
      </c>
      <c r="H61" s="91">
        <f t="shared" si="1"/>
        <v>246458.50000000003</v>
      </c>
    </row>
    <row r="62" spans="1:8" ht="18.75" customHeight="1">
      <c r="A62" s="121" t="s">
        <v>837</v>
      </c>
      <c r="B62" s="57" t="s">
        <v>109</v>
      </c>
      <c r="C62" s="57" t="s">
        <v>24</v>
      </c>
      <c r="D62" s="91">
        <f>'прил.7'!G456</f>
        <v>209583.00000000003</v>
      </c>
      <c r="E62" s="91">
        <f>'прил.7'!H456</f>
        <v>118.2</v>
      </c>
      <c r="F62" s="91">
        <f t="shared" si="0"/>
        <v>209701.20000000004</v>
      </c>
      <c r="G62" s="91">
        <f>'прил.7'!J456</f>
        <v>20503</v>
      </c>
      <c r="H62" s="91">
        <f t="shared" si="1"/>
        <v>230204.20000000004</v>
      </c>
    </row>
    <row r="63" spans="1:23" s="22" customFormat="1" ht="17.25" customHeight="1">
      <c r="A63" s="121" t="s">
        <v>791</v>
      </c>
      <c r="B63" s="57" t="s">
        <v>109</v>
      </c>
      <c r="C63" s="57" t="s">
        <v>27</v>
      </c>
      <c r="D63" s="91">
        <f>'прил.7'!G493</f>
        <v>13297.9</v>
      </c>
      <c r="E63" s="91">
        <f>'прил.7'!H493</f>
        <v>8.9</v>
      </c>
      <c r="F63" s="91">
        <f t="shared" si="0"/>
        <v>13306.8</v>
      </c>
      <c r="G63" s="91">
        <f>'прил.7'!J493</f>
        <v>2947.5000000000005</v>
      </c>
      <c r="H63" s="91">
        <f t="shared" si="1"/>
        <v>16254.3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23" customFormat="1" ht="16.5">
      <c r="A64" s="121" t="s">
        <v>607</v>
      </c>
      <c r="B64" s="57" t="s">
        <v>106</v>
      </c>
      <c r="C64" s="57"/>
      <c r="D64" s="91">
        <f>SUM(D65:D70)</f>
        <v>381714.4</v>
      </c>
      <c r="E64" s="91">
        <f>SUM(E65:E70)</f>
        <v>23981.3</v>
      </c>
      <c r="F64" s="91">
        <f t="shared" si="0"/>
        <v>405695.7</v>
      </c>
      <c r="G64" s="91">
        <f>SUM(G65:G70)</f>
        <v>38566.5</v>
      </c>
      <c r="H64" s="91">
        <f t="shared" si="1"/>
        <v>444262.2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8.75" customHeight="1">
      <c r="A65" s="121" t="s">
        <v>658</v>
      </c>
      <c r="B65" s="57" t="s">
        <v>106</v>
      </c>
      <c r="C65" s="57" t="s">
        <v>24</v>
      </c>
      <c r="D65" s="91">
        <f>'прил.7'!G521</f>
        <v>166789.90000000002</v>
      </c>
      <c r="E65" s="91">
        <f>'прил.7'!H521</f>
        <v>5541.8</v>
      </c>
      <c r="F65" s="91">
        <f t="shared" si="0"/>
        <v>172331.7</v>
      </c>
      <c r="G65" s="91">
        <f>'прил.7'!J521</f>
        <v>19466.7</v>
      </c>
      <c r="H65" s="91">
        <f t="shared" si="1"/>
        <v>191798.40000000002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8.75" customHeight="1">
      <c r="A66" s="121" t="s">
        <v>794</v>
      </c>
      <c r="B66" s="57" t="s">
        <v>106</v>
      </c>
      <c r="C66" s="57" t="s">
        <v>25</v>
      </c>
      <c r="D66" s="91">
        <f>'прил.7'!G535</f>
        <v>46616.6</v>
      </c>
      <c r="E66" s="91">
        <f>'прил.7'!H535</f>
        <v>441.6</v>
      </c>
      <c r="F66" s="91">
        <f t="shared" si="0"/>
        <v>47058.2</v>
      </c>
      <c r="G66" s="91">
        <f>'прил.7'!J535</f>
        <v>4322.5</v>
      </c>
      <c r="H66" s="91">
        <f t="shared" si="1"/>
        <v>51380.7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20" customFormat="1" ht="19.5" customHeight="1">
      <c r="A67" s="121" t="s">
        <v>796</v>
      </c>
      <c r="B67" s="62" t="s">
        <v>106</v>
      </c>
      <c r="C67" s="62" t="s">
        <v>26</v>
      </c>
      <c r="D67" s="93">
        <f>'прил.7'!G549</f>
        <v>2882.1</v>
      </c>
      <c r="E67" s="93">
        <f>'прил.7'!H549</f>
        <v>78.9</v>
      </c>
      <c r="F67" s="91">
        <f t="shared" si="0"/>
        <v>2961</v>
      </c>
      <c r="G67" s="93">
        <f>'прил.7'!J549</f>
        <v>521.7</v>
      </c>
      <c r="H67" s="91">
        <f t="shared" si="1"/>
        <v>3482.7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3" s="28" customFormat="1" ht="19.5" customHeight="1">
      <c r="A68" s="127" t="s">
        <v>797</v>
      </c>
      <c r="B68" s="62" t="s">
        <v>106</v>
      </c>
      <c r="C68" s="62" t="s">
        <v>27</v>
      </c>
      <c r="D68" s="93">
        <f>'прил.7'!G560</f>
        <v>126600.90000000001</v>
      </c>
      <c r="E68" s="93">
        <f>'прил.7'!H560</f>
        <v>17700</v>
      </c>
      <c r="F68" s="91">
        <f t="shared" si="0"/>
        <v>144300.90000000002</v>
      </c>
      <c r="G68" s="93">
        <f>'прил.7'!J560</f>
        <v>8340.6</v>
      </c>
      <c r="H68" s="91">
        <f t="shared" si="1"/>
        <v>152641.50000000003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1:23" s="23" customFormat="1" ht="20.25" customHeight="1">
      <c r="A69" s="127" t="s">
        <v>800</v>
      </c>
      <c r="B69" s="57" t="s">
        <v>106</v>
      </c>
      <c r="C69" s="57" t="s">
        <v>108</v>
      </c>
      <c r="D69" s="91">
        <f>'прил.7'!G571</f>
        <v>7488.099999999999</v>
      </c>
      <c r="E69" s="91">
        <f>'прил.7'!H571</f>
        <v>0</v>
      </c>
      <c r="F69" s="91">
        <f t="shared" si="0"/>
        <v>7488.099999999999</v>
      </c>
      <c r="G69" s="91">
        <f>'прил.7'!J571</f>
        <v>412.8</v>
      </c>
      <c r="H69" s="91">
        <f t="shared" si="1"/>
        <v>7900.9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8" s="13" customFormat="1" ht="18" customHeight="1">
      <c r="A70" s="127" t="s">
        <v>802</v>
      </c>
      <c r="B70" s="57" t="s">
        <v>106</v>
      </c>
      <c r="C70" s="57" t="s">
        <v>106</v>
      </c>
      <c r="D70" s="91">
        <f>'прил.7'!G577</f>
        <v>31336.800000000003</v>
      </c>
      <c r="E70" s="91">
        <f>'прил.7'!H577</f>
        <v>219</v>
      </c>
      <c r="F70" s="91">
        <f t="shared" si="0"/>
        <v>31555.800000000003</v>
      </c>
      <c r="G70" s="91">
        <f>'прил.7'!J577</f>
        <v>5502.2</v>
      </c>
      <c r="H70" s="91">
        <f t="shared" si="1"/>
        <v>37058</v>
      </c>
    </row>
    <row r="71" spans="1:8" ht="16.5">
      <c r="A71" s="121" t="s">
        <v>588</v>
      </c>
      <c r="B71" s="57" t="s">
        <v>589</v>
      </c>
      <c r="C71" s="57"/>
      <c r="D71" s="91">
        <f>SUM(D72:D76)</f>
        <v>969009.1000000001</v>
      </c>
      <c r="E71" s="91">
        <f>SUM(E72:E76)</f>
        <v>-1394.6000000000004</v>
      </c>
      <c r="F71" s="91">
        <f t="shared" si="0"/>
        <v>967614.5000000001</v>
      </c>
      <c r="G71" s="91">
        <f>SUM(G72:G76)</f>
        <v>13436.300000000001</v>
      </c>
      <c r="H71" s="91">
        <f t="shared" si="1"/>
        <v>981050.8000000002</v>
      </c>
    </row>
    <row r="72" spans="1:8" ht="16.5">
      <c r="A72" s="121" t="s">
        <v>838</v>
      </c>
      <c r="B72" s="57" t="s">
        <v>589</v>
      </c>
      <c r="C72" s="57" t="s">
        <v>24</v>
      </c>
      <c r="D72" s="91">
        <f>'прил.7'!G620</f>
        <v>6423.6</v>
      </c>
      <c r="E72" s="91">
        <f>'прил.7'!H620</f>
        <v>0</v>
      </c>
      <c r="F72" s="91">
        <f t="shared" si="0"/>
        <v>6423.6</v>
      </c>
      <c r="G72" s="91">
        <f>'прил.7'!J620</f>
        <v>0</v>
      </c>
      <c r="H72" s="91">
        <f t="shared" si="1"/>
        <v>6423.6</v>
      </c>
    </row>
    <row r="73" spans="1:8" ht="16.5">
      <c r="A73" s="121" t="s">
        <v>254</v>
      </c>
      <c r="B73" s="57" t="s">
        <v>589</v>
      </c>
      <c r="C73" s="57" t="s">
        <v>25</v>
      </c>
      <c r="D73" s="91">
        <f>'прил.7'!G624</f>
        <v>87027.4</v>
      </c>
      <c r="E73" s="91">
        <f>'прил.7'!H624</f>
        <v>1445.5</v>
      </c>
      <c r="F73" s="91">
        <f t="shared" si="0"/>
        <v>88472.9</v>
      </c>
      <c r="G73" s="91">
        <f>'прил.7'!J624</f>
        <v>2550</v>
      </c>
      <c r="H73" s="91">
        <f t="shared" si="1"/>
        <v>91022.9</v>
      </c>
    </row>
    <row r="74" spans="1:8" ht="16.5">
      <c r="A74" s="121" t="s">
        <v>463</v>
      </c>
      <c r="B74" s="57" t="s">
        <v>589</v>
      </c>
      <c r="C74" s="57" t="s">
        <v>26</v>
      </c>
      <c r="D74" s="91">
        <f>'прил.7'!G638</f>
        <v>735112.4</v>
      </c>
      <c r="E74" s="91">
        <f>'прил.7'!H638</f>
        <v>919.7</v>
      </c>
      <c r="F74" s="91">
        <f t="shared" si="0"/>
        <v>736032.1</v>
      </c>
      <c r="G74" s="91">
        <f>'прил.7'!J638</f>
        <v>9644</v>
      </c>
      <c r="H74" s="91">
        <f t="shared" si="1"/>
        <v>745676.1</v>
      </c>
    </row>
    <row r="75" spans="1:8" ht="16.5">
      <c r="A75" s="123" t="s">
        <v>839</v>
      </c>
      <c r="B75" s="57" t="s">
        <v>589</v>
      </c>
      <c r="C75" s="57" t="s">
        <v>27</v>
      </c>
      <c r="D75" s="91">
        <f>'прил.7'!G688</f>
        <v>79701.9</v>
      </c>
      <c r="E75" s="91">
        <f>'прил.7'!H688</f>
        <v>0</v>
      </c>
      <c r="F75" s="91">
        <f t="shared" si="0"/>
        <v>79701.9</v>
      </c>
      <c r="G75" s="91">
        <f>'прил.7'!J688</f>
        <v>486.1999999999998</v>
      </c>
      <c r="H75" s="91">
        <f t="shared" si="1"/>
        <v>80188.09999999999</v>
      </c>
    </row>
    <row r="76" spans="1:8" ht="18" customHeight="1">
      <c r="A76" s="121" t="s">
        <v>816</v>
      </c>
      <c r="B76" s="57" t="s">
        <v>589</v>
      </c>
      <c r="C76" s="57" t="s">
        <v>28</v>
      </c>
      <c r="D76" s="91">
        <f>'прил.7'!G694</f>
        <v>60743.8</v>
      </c>
      <c r="E76" s="91">
        <f>'прил.7'!H694</f>
        <v>-3759.8</v>
      </c>
      <c r="F76" s="91">
        <f t="shared" si="0"/>
        <v>56984</v>
      </c>
      <c r="G76" s="91">
        <f>'прил.7'!J694</f>
        <v>756.1000000000004</v>
      </c>
      <c r="H76" s="91">
        <f t="shared" si="1"/>
        <v>57740.1</v>
      </c>
    </row>
    <row r="77" spans="1:8" ht="18" customHeight="1">
      <c r="A77" s="121" t="s">
        <v>609</v>
      </c>
      <c r="B77" s="57" t="s">
        <v>111</v>
      </c>
      <c r="C77" s="57"/>
      <c r="D77" s="91">
        <f>SUM(D78:D81)</f>
        <v>286181.5</v>
      </c>
      <c r="E77" s="91">
        <f>SUM(E78:E81)</f>
        <v>-1813.3000000000002</v>
      </c>
      <c r="F77" s="91">
        <f t="shared" si="0"/>
        <v>284368.2</v>
      </c>
      <c r="G77" s="91">
        <f>SUM(G78:G81)</f>
        <v>210472.4</v>
      </c>
      <c r="H77" s="91">
        <f t="shared" si="1"/>
        <v>494840.6</v>
      </c>
    </row>
    <row r="78" spans="1:8" ht="18" customHeight="1">
      <c r="A78" s="121" t="s">
        <v>817</v>
      </c>
      <c r="B78" s="57" t="s">
        <v>111</v>
      </c>
      <c r="C78" s="57" t="s">
        <v>24</v>
      </c>
      <c r="D78" s="91">
        <f>'прил.7'!G726</f>
        <v>178616.2</v>
      </c>
      <c r="E78" s="91">
        <f>'прил.7'!H726</f>
        <v>-1884.9</v>
      </c>
      <c r="F78" s="91">
        <f t="shared" si="0"/>
        <v>176731.30000000002</v>
      </c>
      <c r="G78" s="91">
        <f>'прил.7'!J726</f>
        <v>10261.4</v>
      </c>
      <c r="H78" s="91">
        <f t="shared" si="1"/>
        <v>186992.7</v>
      </c>
    </row>
    <row r="79" spans="1:8" ht="18" customHeight="1">
      <c r="A79" s="121" t="s">
        <v>821</v>
      </c>
      <c r="B79" s="57" t="s">
        <v>111</v>
      </c>
      <c r="C79" s="57" t="s">
        <v>25</v>
      </c>
      <c r="D79" s="91">
        <f>'прил.7'!G740</f>
        <v>820</v>
      </c>
      <c r="E79" s="91">
        <f>'прил.7'!H740</f>
        <v>0</v>
      </c>
      <c r="F79" s="91">
        <f t="shared" si="0"/>
        <v>820</v>
      </c>
      <c r="G79" s="91">
        <f>'прил.7'!J740</f>
        <v>-300</v>
      </c>
      <c r="H79" s="91">
        <f t="shared" si="1"/>
        <v>520</v>
      </c>
    </row>
    <row r="80" spans="1:8" ht="18" customHeight="1">
      <c r="A80" s="127" t="s">
        <v>822</v>
      </c>
      <c r="B80" s="57" t="s">
        <v>111</v>
      </c>
      <c r="C80" s="57" t="s">
        <v>26</v>
      </c>
      <c r="D80" s="91">
        <f>'прил.7'!G744</f>
        <v>100000</v>
      </c>
      <c r="E80" s="91">
        <f>'прил.7'!H744</f>
        <v>0</v>
      </c>
      <c r="F80" s="91">
        <f t="shared" si="0"/>
        <v>100000</v>
      </c>
      <c r="G80" s="91">
        <f>'прил.7'!J744</f>
        <v>200000</v>
      </c>
      <c r="H80" s="91">
        <f t="shared" si="1"/>
        <v>300000</v>
      </c>
    </row>
    <row r="81" spans="1:8" ht="18" customHeight="1">
      <c r="A81" s="121" t="s">
        <v>825</v>
      </c>
      <c r="B81" s="57" t="s">
        <v>111</v>
      </c>
      <c r="C81" s="57" t="s">
        <v>108</v>
      </c>
      <c r="D81" s="91">
        <f>'прил.7'!G749</f>
        <v>6745.3</v>
      </c>
      <c r="E81" s="91">
        <f>'прил.7'!H749</f>
        <v>71.6</v>
      </c>
      <c r="F81" s="91">
        <f t="shared" si="0"/>
        <v>6816.900000000001</v>
      </c>
      <c r="G81" s="91">
        <f>'прил.7'!J749</f>
        <v>511</v>
      </c>
      <c r="H81" s="91">
        <f t="shared" si="1"/>
        <v>7327.900000000001</v>
      </c>
    </row>
    <row r="82" spans="1:8" ht="18" customHeight="1">
      <c r="A82" s="121" t="s">
        <v>612</v>
      </c>
      <c r="B82" s="57" t="s">
        <v>626</v>
      </c>
      <c r="C82" s="57"/>
      <c r="D82" s="91">
        <f>SUM(D83:D83)</f>
        <v>32843.4</v>
      </c>
      <c r="E82" s="91">
        <f>SUM(E83:E83)</f>
        <v>15.4</v>
      </c>
      <c r="F82" s="91">
        <f t="shared" si="0"/>
        <v>32858.8</v>
      </c>
      <c r="G82" s="91">
        <f>SUM(G83:G83)</f>
        <v>11038.9</v>
      </c>
      <c r="H82" s="91">
        <f t="shared" si="1"/>
        <v>43897.700000000004</v>
      </c>
    </row>
    <row r="83" spans="1:8" ht="18" customHeight="1">
      <c r="A83" s="121" t="s">
        <v>826</v>
      </c>
      <c r="B83" s="57" t="s">
        <v>626</v>
      </c>
      <c r="C83" s="57" t="s">
        <v>25</v>
      </c>
      <c r="D83" s="91">
        <f>'прил.7'!G763</f>
        <v>32843.4</v>
      </c>
      <c r="E83" s="91">
        <f>'прил.7'!H763</f>
        <v>15.4</v>
      </c>
      <c r="F83" s="91">
        <f t="shared" si="0"/>
        <v>32858.8</v>
      </c>
      <c r="G83" s="91">
        <f>'прил.7'!J763</f>
        <v>11038.9</v>
      </c>
      <c r="H83" s="91">
        <f t="shared" si="1"/>
        <v>43897.700000000004</v>
      </c>
    </row>
    <row r="84" spans="1:8" ht="33.75" customHeight="1">
      <c r="A84" s="121" t="s">
        <v>613</v>
      </c>
      <c r="B84" s="57" t="s">
        <v>606</v>
      </c>
      <c r="C84" s="57"/>
      <c r="D84" s="91">
        <f>SUM(D85)</f>
        <v>26875</v>
      </c>
      <c r="E84" s="91">
        <f>SUM(E85)</f>
        <v>0</v>
      </c>
      <c r="F84" s="91">
        <f t="shared" si="0"/>
        <v>26875</v>
      </c>
      <c r="G84" s="91">
        <f>SUM(G85)</f>
        <v>0</v>
      </c>
      <c r="H84" s="91">
        <f t="shared" si="1"/>
        <v>26875</v>
      </c>
    </row>
    <row r="85" spans="1:8" ht="16.5" customHeight="1">
      <c r="A85" s="121" t="s">
        <v>840</v>
      </c>
      <c r="B85" s="57" t="s">
        <v>606</v>
      </c>
      <c r="C85" s="57" t="s">
        <v>24</v>
      </c>
      <c r="D85" s="91">
        <f>'прил.7'!G775</f>
        <v>26875</v>
      </c>
      <c r="E85" s="91">
        <f>'прил.7'!H775</f>
        <v>0</v>
      </c>
      <c r="F85" s="91">
        <f t="shared" si="0"/>
        <v>26875</v>
      </c>
      <c r="G85" s="91">
        <f>'прил.7'!J775</f>
        <v>0</v>
      </c>
      <c r="H85" s="91">
        <f t="shared" si="1"/>
        <v>26875</v>
      </c>
    </row>
    <row r="86" spans="1:8" s="19" customFormat="1" ht="21.75" customHeight="1">
      <c r="A86" s="142" t="s">
        <v>390</v>
      </c>
      <c r="B86" s="63"/>
      <c r="C86" s="63"/>
      <c r="D86" s="94">
        <f>D28+D37+D41+D46+D51+D54+D61+D64+D71+D77+D82+D84</f>
        <v>5997705.400000002</v>
      </c>
      <c r="E86" s="94">
        <f>E28+E37+E41+E46+E51+E54+E61+E64+E71+E77+E82+E84</f>
        <v>29352.200000000015</v>
      </c>
      <c r="F86" s="91">
        <f t="shared" si="0"/>
        <v>6027057.600000002</v>
      </c>
      <c r="G86" s="94">
        <f>G28+G37+G41+G46+G51+G54+G61+G64+G71+G77+G82+G84</f>
        <v>638149.6</v>
      </c>
      <c r="H86" s="91">
        <f t="shared" si="1"/>
        <v>6665207.200000002</v>
      </c>
    </row>
    <row r="87" spans="1:4" s="19" customFormat="1" ht="16.5" hidden="1">
      <c r="A87" s="142" t="s">
        <v>73</v>
      </c>
      <c r="B87" s="18"/>
      <c r="C87" s="18"/>
      <c r="D87" s="94"/>
    </row>
    <row r="88" spans="1:4" s="19" customFormat="1" ht="16.5" hidden="1">
      <c r="A88" s="142" t="s">
        <v>74</v>
      </c>
      <c r="B88" s="18"/>
      <c r="C88" s="18"/>
      <c r="D88" s="94"/>
    </row>
    <row r="89" spans="1:4" ht="12.75">
      <c r="A89" s="155"/>
      <c r="D89" s="95"/>
    </row>
    <row r="90" spans="1:4" ht="2.25" customHeight="1">
      <c r="A90" s="148"/>
      <c r="D90" s="7">
        <f>D86-'прил.7'!G778</f>
        <v>0</v>
      </c>
    </row>
    <row r="91" ht="12.75">
      <c r="A91" s="148"/>
    </row>
    <row r="92" spans="1:8" ht="12.75">
      <c r="A92" s="148"/>
      <c r="E92" s="7"/>
      <c r="F92" s="7"/>
      <c r="G92" s="7">
        <f>G86-'прил.7'!J778</f>
        <v>0</v>
      </c>
      <c r="H92" s="7"/>
    </row>
    <row r="93" spans="1:8" ht="12.75">
      <c r="A93" s="148"/>
      <c r="H93" s="7"/>
    </row>
    <row r="94" ht="12.75">
      <c r="A94" s="148"/>
    </row>
    <row r="95" ht="12.75">
      <c r="A95" s="148"/>
    </row>
    <row r="96" ht="12.75">
      <c r="A96" s="148"/>
    </row>
    <row r="97" ht="12.75">
      <c r="A97" s="148"/>
    </row>
    <row r="98" ht="12.75">
      <c r="A98" s="148"/>
    </row>
    <row r="99" ht="12.75">
      <c r="A99" s="148"/>
    </row>
    <row r="100" ht="12.75">
      <c r="A100" s="148"/>
    </row>
    <row r="101" ht="12.75">
      <c r="A101" s="148"/>
    </row>
    <row r="102" ht="12.75">
      <c r="A102" s="148"/>
    </row>
    <row r="103" ht="12.75">
      <c r="A103" s="148"/>
    </row>
    <row r="104" ht="12.75">
      <c r="A104" s="148"/>
    </row>
    <row r="105" ht="12.75">
      <c r="A105" s="148"/>
    </row>
    <row r="106" ht="12.75">
      <c r="A106" s="148"/>
    </row>
    <row r="107" ht="12.75">
      <c r="A107" s="148"/>
    </row>
    <row r="108" ht="12.75">
      <c r="A108" s="148"/>
    </row>
    <row r="109" ht="12.75">
      <c r="A109" s="148"/>
    </row>
    <row r="110" ht="12.75">
      <c r="A110" s="148"/>
    </row>
    <row r="111" ht="12.75">
      <c r="A111" s="148"/>
    </row>
    <row r="112" ht="12.75">
      <c r="A112" s="148"/>
    </row>
    <row r="113" ht="12.75">
      <c r="A113" s="148"/>
    </row>
    <row r="114" ht="12.75">
      <c r="A114" s="148"/>
    </row>
    <row r="115" ht="12.75">
      <c r="A115" s="148"/>
    </row>
    <row r="116" ht="12.75">
      <c r="A116" s="148"/>
    </row>
    <row r="117" ht="12.75">
      <c r="A117" s="148"/>
    </row>
    <row r="118" ht="12.75">
      <c r="A118" s="148"/>
    </row>
    <row r="119" ht="12.75">
      <c r="A119" s="148"/>
    </row>
    <row r="120" ht="12.75">
      <c r="A120" s="148"/>
    </row>
    <row r="121" ht="12.75">
      <c r="A121" s="148"/>
    </row>
    <row r="122" ht="12.75">
      <c r="A122" s="148"/>
    </row>
    <row r="123" ht="12.75">
      <c r="A123" s="148"/>
    </row>
    <row r="124" ht="12.75">
      <c r="A124" s="148"/>
    </row>
    <row r="125" ht="12.75">
      <c r="A125" s="148"/>
    </row>
    <row r="126" ht="12.75">
      <c r="A126" s="148"/>
    </row>
    <row r="127" ht="12.75">
      <c r="A127" s="148"/>
    </row>
    <row r="128" ht="12.75">
      <c r="A128" s="148"/>
    </row>
    <row r="129" ht="12.75">
      <c r="A129" s="148"/>
    </row>
    <row r="130" ht="12.75">
      <c r="A130" s="148"/>
    </row>
    <row r="131" ht="12.75">
      <c r="A131" s="148"/>
    </row>
    <row r="132" ht="12.75">
      <c r="A132" s="148"/>
    </row>
    <row r="133" ht="12.75">
      <c r="A133" s="148"/>
    </row>
    <row r="134" ht="12.75">
      <c r="A134" s="148"/>
    </row>
    <row r="135" ht="12.75">
      <c r="A135" s="148"/>
    </row>
    <row r="136" ht="12.75">
      <c r="A136" s="148"/>
    </row>
    <row r="137" ht="12.75">
      <c r="A137" s="148"/>
    </row>
    <row r="138" ht="12.75">
      <c r="A138" s="148"/>
    </row>
    <row r="139" ht="12.75">
      <c r="A139" s="148"/>
    </row>
    <row r="140" ht="12.75">
      <c r="A140" s="148"/>
    </row>
    <row r="141" ht="12.75">
      <c r="A141" s="148"/>
    </row>
    <row r="142" ht="12.75">
      <c r="A142" s="148"/>
    </row>
    <row r="143" ht="12.75">
      <c r="A143" s="148"/>
    </row>
    <row r="144" ht="12.75">
      <c r="A144" s="148"/>
    </row>
    <row r="145" ht="12.75">
      <c r="A145" s="148"/>
    </row>
    <row r="146" ht="12.75">
      <c r="A146" s="148"/>
    </row>
    <row r="147" ht="12.75">
      <c r="A147" s="148"/>
    </row>
    <row r="148" ht="12.75">
      <c r="A148" s="148"/>
    </row>
    <row r="149" ht="12.75">
      <c r="A149" s="148"/>
    </row>
    <row r="150" ht="12.75">
      <c r="A150" s="148"/>
    </row>
    <row r="151" ht="12.75">
      <c r="A151" s="148"/>
    </row>
    <row r="152" ht="12.75">
      <c r="A152" s="148"/>
    </row>
    <row r="153" ht="12.75">
      <c r="A153" s="148"/>
    </row>
    <row r="154" ht="12.75">
      <c r="A154" s="148"/>
    </row>
    <row r="155" ht="12.75">
      <c r="A155" s="148"/>
    </row>
    <row r="156" ht="12.75">
      <c r="A156" s="148"/>
    </row>
    <row r="157" ht="12.75">
      <c r="A157" s="148"/>
    </row>
    <row r="158" ht="12.75">
      <c r="A158" s="148"/>
    </row>
    <row r="159" ht="12.75">
      <c r="A159" s="148"/>
    </row>
    <row r="160" ht="12.75">
      <c r="A160" s="148"/>
    </row>
    <row r="161" ht="12.75">
      <c r="A161" s="148"/>
    </row>
    <row r="162" ht="12.75">
      <c r="A162" s="148"/>
    </row>
    <row r="163" ht="12.75">
      <c r="A163" s="148"/>
    </row>
    <row r="164" ht="12.75">
      <c r="A164" s="148"/>
    </row>
    <row r="165" ht="12.75">
      <c r="A165" s="148"/>
    </row>
    <row r="166" ht="12.75">
      <c r="A166" s="148"/>
    </row>
    <row r="167" ht="12.75">
      <c r="A167" s="148"/>
    </row>
    <row r="168" ht="12.75">
      <c r="A168" s="148"/>
    </row>
    <row r="169" ht="12.75">
      <c r="A169" s="148"/>
    </row>
    <row r="170" ht="12.75">
      <c r="A170" s="148"/>
    </row>
    <row r="171" ht="12.75">
      <c r="A171" s="148"/>
    </row>
    <row r="172" ht="12.75">
      <c r="A172" s="148"/>
    </row>
    <row r="173" ht="12.75">
      <c r="A173" s="148"/>
    </row>
    <row r="174" ht="12.75">
      <c r="A174" s="148"/>
    </row>
    <row r="175" ht="12.75">
      <c r="A175" s="148"/>
    </row>
    <row r="176" ht="12.75">
      <c r="A176" s="148"/>
    </row>
    <row r="177" ht="12.75">
      <c r="A177" s="148"/>
    </row>
    <row r="178" ht="12.75">
      <c r="A178" s="148"/>
    </row>
    <row r="179" ht="12.75">
      <c r="A179" s="148"/>
    </row>
    <row r="180" ht="12.75">
      <c r="A180" s="148"/>
    </row>
    <row r="181" ht="12.75">
      <c r="A181" s="148"/>
    </row>
    <row r="182" ht="12.75">
      <c r="A182" s="148"/>
    </row>
    <row r="183" ht="12.75">
      <c r="A183" s="148"/>
    </row>
    <row r="184" ht="12.75">
      <c r="A184" s="148"/>
    </row>
    <row r="185" ht="12.75">
      <c r="A185" s="148"/>
    </row>
    <row r="186" ht="12.75">
      <c r="A186" s="148"/>
    </row>
    <row r="187" ht="12.75">
      <c r="A187" s="148"/>
    </row>
    <row r="188" ht="12.75">
      <c r="A188" s="148"/>
    </row>
    <row r="189" ht="12.75">
      <c r="A189" s="148"/>
    </row>
    <row r="190" ht="12.75">
      <c r="A190" s="148"/>
    </row>
    <row r="191" ht="12.75">
      <c r="A191" s="148"/>
    </row>
    <row r="192" ht="12.75">
      <c r="A192" s="148"/>
    </row>
    <row r="193" ht="12.75">
      <c r="A193" s="148"/>
    </row>
    <row r="194" ht="12.75">
      <c r="A194" s="148"/>
    </row>
    <row r="195" ht="12.75">
      <c r="A195" s="148"/>
    </row>
    <row r="196" ht="12.75">
      <c r="A196" s="148"/>
    </row>
    <row r="197" ht="12.75">
      <c r="A197" s="148"/>
    </row>
    <row r="198" ht="12.75">
      <c r="A198" s="148"/>
    </row>
    <row r="199" ht="12.75">
      <c r="A199" s="148"/>
    </row>
    <row r="200" ht="12.75">
      <c r="A200" s="148"/>
    </row>
    <row r="201" ht="12.75">
      <c r="A201" s="148"/>
    </row>
    <row r="202" ht="12.75">
      <c r="A202" s="148"/>
    </row>
    <row r="203" ht="12.75">
      <c r="A203" s="148"/>
    </row>
    <row r="204" ht="12.75">
      <c r="A204" s="148"/>
    </row>
    <row r="205" ht="12.75">
      <c r="A205" s="148"/>
    </row>
    <row r="206" ht="12.75">
      <c r="A206" s="148"/>
    </row>
    <row r="207" ht="12.75">
      <c r="A207" s="148"/>
    </row>
    <row r="208" ht="12.75">
      <c r="A208" s="148"/>
    </row>
    <row r="209" ht="12.75">
      <c r="A209" s="148"/>
    </row>
    <row r="210" ht="12.75">
      <c r="A210" s="148"/>
    </row>
    <row r="211" ht="12.75">
      <c r="A211" s="148"/>
    </row>
    <row r="212" ht="12.75">
      <c r="A212" s="148"/>
    </row>
    <row r="213" ht="12.75">
      <c r="A213" s="148"/>
    </row>
    <row r="214" ht="12.75">
      <c r="A214" s="148"/>
    </row>
    <row r="215" ht="12.75">
      <c r="A215" s="148"/>
    </row>
    <row r="216" ht="12.75">
      <c r="A216" s="148"/>
    </row>
    <row r="217" ht="12.75">
      <c r="A217" s="148"/>
    </row>
    <row r="218" ht="12.75">
      <c r="A218" s="148"/>
    </row>
    <row r="219" ht="12.75">
      <c r="A219" s="148"/>
    </row>
    <row r="220" ht="12.75">
      <c r="A220" s="148"/>
    </row>
    <row r="221" ht="12.75">
      <c r="A221" s="148"/>
    </row>
  </sheetData>
  <mergeCells count="10">
    <mergeCell ref="E25:E26"/>
    <mergeCell ref="H25:H26"/>
    <mergeCell ref="A19:D19"/>
    <mergeCell ref="A20:D20"/>
    <mergeCell ref="A25:A26"/>
    <mergeCell ref="B25:B26"/>
    <mergeCell ref="C25:C26"/>
    <mergeCell ref="D25:D26"/>
    <mergeCell ref="G25:G26"/>
    <mergeCell ref="F25:F26"/>
  </mergeCells>
  <printOptions/>
  <pageMargins left="1.1811023622047245" right="0.3937007874015748" top="0.7874015748031497" bottom="0.3937007874015748" header="0.5118110236220472" footer="0.5118110236220472"/>
  <pageSetup fitToHeight="2" fitToWidth="1" horizontalDpi="600" verticalDpi="600" orientation="portrait" paperSize="9" scale="65" r:id="rId1"/>
  <headerFooter alignWithMargins="0">
    <oddHeader>&amp;C&amp;P</oddHeader>
  </headerFooter>
  <rowBreaks count="1" manualBreakCount="1">
    <brk id="8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00"/>
  <sheetViews>
    <sheetView showZeros="0" view="pageBreakPreview" zoomScale="85" zoomScaleNormal="75" zoomScaleSheetLayoutView="85" workbookViewId="0" topLeftCell="A663">
      <selection activeCell="A679" sqref="A679"/>
    </sheetView>
  </sheetViews>
  <sheetFormatPr defaultColWidth="8.875" defaultRowHeight="12.75"/>
  <cols>
    <col min="1" max="1" width="81.75390625" style="0" customWidth="1"/>
    <col min="2" max="2" width="3.00390625" style="0" hidden="1" customWidth="1"/>
    <col min="3" max="3" width="11.75390625" style="0" customWidth="1"/>
    <col min="4" max="4" width="9.75390625" style="0" customWidth="1"/>
    <col min="5" max="5" width="16.75390625" style="0" customWidth="1"/>
    <col min="6" max="6" width="13.625" style="0" customWidth="1"/>
    <col min="7" max="9" width="14.625" style="0" hidden="1" customWidth="1"/>
    <col min="10" max="10" width="12.625" style="0" hidden="1" customWidth="1"/>
    <col min="11" max="11" width="21.375" style="0" customWidth="1"/>
  </cols>
  <sheetData>
    <row r="1" spans="6:23" ht="16.5">
      <c r="F1" s="1" t="s">
        <v>326</v>
      </c>
      <c r="H1" s="1"/>
      <c r="I1" s="1"/>
      <c r="J1" s="1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6:23" ht="16.5">
      <c r="F2" s="1" t="s">
        <v>238</v>
      </c>
      <c r="H2" s="1"/>
      <c r="I2" s="1"/>
      <c r="J2" s="1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6:23" ht="16.5">
      <c r="F3" s="1" t="s">
        <v>236</v>
      </c>
      <c r="H3" s="1"/>
      <c r="I3" s="1"/>
      <c r="J3" s="1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6:23" ht="16.5">
      <c r="F4" s="1" t="s">
        <v>503</v>
      </c>
      <c r="H4" s="1"/>
      <c r="I4" s="1"/>
      <c r="J4" s="1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6.5">
      <c r="A5" s="16"/>
      <c r="B5" s="16"/>
      <c r="C5" s="16"/>
      <c r="D5" s="16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6.5">
      <c r="A6" s="16"/>
      <c r="B6" s="16"/>
      <c r="C6" s="16"/>
      <c r="D6" s="16"/>
      <c r="E6" s="16"/>
      <c r="F6" s="1" t="s">
        <v>188</v>
      </c>
      <c r="H6" s="1"/>
      <c r="I6" s="1"/>
      <c r="J6" s="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6.5">
      <c r="A7" s="16"/>
      <c r="B7" s="16"/>
      <c r="C7" s="16"/>
      <c r="D7" s="16"/>
      <c r="E7" s="16"/>
      <c r="F7" s="1" t="s">
        <v>238</v>
      </c>
      <c r="H7" s="1"/>
      <c r="I7" s="1"/>
      <c r="J7" s="1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6.5">
      <c r="A8" s="16"/>
      <c r="B8" s="16"/>
      <c r="C8" s="16"/>
      <c r="D8" s="16"/>
      <c r="E8" s="16"/>
      <c r="F8" s="1" t="s">
        <v>236</v>
      </c>
      <c r="H8" s="1"/>
      <c r="I8" s="1"/>
      <c r="J8" s="1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6.5">
      <c r="A9" s="16"/>
      <c r="B9" s="16"/>
      <c r="C9" s="16"/>
      <c r="D9" s="16"/>
      <c r="E9" s="16"/>
      <c r="F9" s="1" t="s">
        <v>2</v>
      </c>
      <c r="H9" s="1"/>
      <c r="I9" s="1"/>
      <c r="J9" s="1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5" customHeight="1">
      <c r="A10" s="12"/>
      <c r="B10" s="12"/>
      <c r="C10" s="12"/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4" customHeight="1">
      <c r="A11" s="162" t="s">
        <v>303</v>
      </c>
      <c r="B11" s="162"/>
      <c r="C11" s="162"/>
      <c r="D11" s="162"/>
      <c r="E11" s="162"/>
      <c r="F11" s="162"/>
      <c r="G11" s="16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17.25" customHeight="1">
      <c r="A12" s="162" t="s">
        <v>836</v>
      </c>
      <c r="B12" s="162"/>
      <c r="C12" s="162"/>
      <c r="D12" s="162"/>
      <c r="E12" s="162"/>
      <c r="F12" s="162"/>
      <c r="G12" s="16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9.5" customHeight="1" hidden="1">
      <c r="A13" s="12"/>
      <c r="B13" s="12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6.5" hidden="1">
      <c r="A14" s="15"/>
      <c r="B14" s="15"/>
      <c r="C14" s="15"/>
      <c r="D14" s="15"/>
      <c r="E14" s="15"/>
      <c r="F14" s="15"/>
      <c r="G14" s="1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5" customHeight="1">
      <c r="A15" s="15"/>
      <c r="B15" s="15"/>
      <c r="C15" s="15"/>
      <c r="D15" s="15"/>
      <c r="E15" s="15"/>
      <c r="F15" s="15"/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6.5" customHeight="1">
      <c r="A16" s="12" t="s">
        <v>19</v>
      </c>
      <c r="B16" s="12"/>
      <c r="C16" s="12"/>
      <c r="D16" s="12"/>
      <c r="E16" s="12"/>
      <c r="F16" s="12"/>
      <c r="G16" s="34"/>
      <c r="H16" s="13"/>
      <c r="I16" s="13"/>
      <c r="J16" s="13"/>
      <c r="K16" s="34" t="s">
        <v>604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21" customFormat="1" ht="58.5" customHeight="1">
      <c r="A17" s="14" t="s">
        <v>20</v>
      </c>
      <c r="B17" s="14"/>
      <c r="C17" s="14" t="s">
        <v>21</v>
      </c>
      <c r="D17" s="14" t="s">
        <v>114</v>
      </c>
      <c r="E17" s="14" t="s">
        <v>115</v>
      </c>
      <c r="F17" s="14" t="s">
        <v>116</v>
      </c>
      <c r="G17" s="29" t="s">
        <v>17</v>
      </c>
      <c r="H17" s="29" t="s">
        <v>16</v>
      </c>
      <c r="I17" s="29" t="s">
        <v>413</v>
      </c>
      <c r="J17" s="29" t="s">
        <v>16</v>
      </c>
      <c r="K17" s="29" t="s">
        <v>436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6.5">
      <c r="A18" s="121" t="s">
        <v>23</v>
      </c>
      <c r="B18" s="64"/>
      <c r="C18" s="57" t="s">
        <v>24</v>
      </c>
      <c r="D18" s="57"/>
      <c r="E18" s="57"/>
      <c r="F18" s="57"/>
      <c r="G18" s="91">
        <f>G19+G23+G31+G42+G45+G52+G56+G60</f>
        <v>302284.3</v>
      </c>
      <c r="H18" s="91">
        <f>H19+H23+H31+H42+H45+H52+H56+H60</f>
        <v>-20007.999999999996</v>
      </c>
      <c r="I18" s="91">
        <f>G18+H18</f>
        <v>282276.3</v>
      </c>
      <c r="J18" s="91">
        <f>J19+J23+J31+J42+J45+J52+J56+J60</f>
        <v>21169.800000000003</v>
      </c>
      <c r="K18" s="91">
        <f>I18+J18</f>
        <v>303446.1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35.25" customHeight="1">
      <c r="A19" s="122" t="s">
        <v>88</v>
      </c>
      <c r="B19" s="58"/>
      <c r="C19" s="57" t="s">
        <v>24</v>
      </c>
      <c r="D19" s="57" t="s">
        <v>25</v>
      </c>
      <c r="E19" s="57"/>
      <c r="F19" s="57"/>
      <c r="G19" s="91">
        <f>G20</f>
        <v>2114.3</v>
      </c>
      <c r="H19" s="91">
        <f>H20</f>
        <v>0</v>
      </c>
      <c r="I19" s="91">
        <f aca="true" t="shared" si="0" ref="I19:I82">G19+H19</f>
        <v>2114.3</v>
      </c>
      <c r="J19" s="91">
        <f>J20</f>
        <v>185</v>
      </c>
      <c r="K19" s="91">
        <f aca="true" t="shared" si="1" ref="K19:K82">I19+J19</f>
        <v>2299.3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51" customHeight="1">
      <c r="A20" s="123" t="s">
        <v>93</v>
      </c>
      <c r="B20" s="65"/>
      <c r="C20" s="57" t="s">
        <v>24</v>
      </c>
      <c r="D20" s="57" t="s">
        <v>25</v>
      </c>
      <c r="E20" s="57" t="s">
        <v>94</v>
      </c>
      <c r="F20" s="57"/>
      <c r="G20" s="91">
        <f aca="true" t="shared" si="2" ref="G20:J21">G21</f>
        <v>2114.3</v>
      </c>
      <c r="H20" s="91">
        <f t="shared" si="2"/>
        <v>0</v>
      </c>
      <c r="I20" s="91">
        <f t="shared" si="0"/>
        <v>2114.3</v>
      </c>
      <c r="J20" s="91">
        <f t="shared" si="2"/>
        <v>185</v>
      </c>
      <c r="K20" s="91">
        <f t="shared" si="1"/>
        <v>2299.3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6.5">
      <c r="A21" s="123" t="s">
        <v>707</v>
      </c>
      <c r="B21" s="66"/>
      <c r="C21" s="57" t="s">
        <v>24</v>
      </c>
      <c r="D21" s="57" t="s">
        <v>25</v>
      </c>
      <c r="E21" s="57" t="s">
        <v>95</v>
      </c>
      <c r="F21" s="57"/>
      <c r="G21" s="91">
        <f t="shared" si="2"/>
        <v>2114.3</v>
      </c>
      <c r="H21" s="91">
        <f t="shared" si="2"/>
        <v>0</v>
      </c>
      <c r="I21" s="91">
        <f t="shared" si="0"/>
        <v>2114.3</v>
      </c>
      <c r="J21" s="91">
        <f t="shared" si="2"/>
        <v>185</v>
      </c>
      <c r="K21" s="91">
        <f t="shared" si="1"/>
        <v>2299.3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6.5">
      <c r="A22" s="123" t="s">
        <v>438</v>
      </c>
      <c r="B22" s="59"/>
      <c r="C22" s="57" t="s">
        <v>24</v>
      </c>
      <c r="D22" s="57" t="s">
        <v>25</v>
      </c>
      <c r="E22" s="57" t="s">
        <v>95</v>
      </c>
      <c r="F22" s="57" t="s">
        <v>277</v>
      </c>
      <c r="G22" s="91">
        <f>'прил.8'!G23</f>
        <v>2114.3</v>
      </c>
      <c r="H22" s="91">
        <f>'прил.8'!H23</f>
        <v>0</v>
      </c>
      <c r="I22" s="91">
        <f t="shared" si="0"/>
        <v>2114.3</v>
      </c>
      <c r="J22" s="91">
        <f>'прил.8'!J23</f>
        <v>185</v>
      </c>
      <c r="K22" s="91">
        <f t="shared" si="1"/>
        <v>2299.3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51.75" customHeight="1">
      <c r="A23" s="121" t="s">
        <v>708</v>
      </c>
      <c r="B23" s="58"/>
      <c r="C23" s="67" t="s">
        <v>24</v>
      </c>
      <c r="D23" s="67" t="s">
        <v>26</v>
      </c>
      <c r="E23" s="67"/>
      <c r="F23" s="57"/>
      <c r="G23" s="91">
        <f>G24</f>
        <v>18178.5</v>
      </c>
      <c r="H23" s="91">
        <f>H24</f>
        <v>16.8</v>
      </c>
      <c r="I23" s="91">
        <f t="shared" si="0"/>
        <v>18195.3</v>
      </c>
      <c r="J23" s="91">
        <f>J24</f>
        <v>1307.2</v>
      </c>
      <c r="K23" s="91">
        <f t="shared" si="1"/>
        <v>19502.5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49.5" customHeight="1">
      <c r="A24" s="123" t="s">
        <v>93</v>
      </c>
      <c r="B24" s="65"/>
      <c r="C24" s="57" t="s">
        <v>24</v>
      </c>
      <c r="D24" s="57" t="s">
        <v>26</v>
      </c>
      <c r="E24" s="57" t="s">
        <v>94</v>
      </c>
      <c r="F24" s="57"/>
      <c r="G24" s="91">
        <f>G25+G27+G29</f>
        <v>18178.5</v>
      </c>
      <c r="H24" s="91">
        <f>H25+H27+H29</f>
        <v>16.8</v>
      </c>
      <c r="I24" s="91">
        <f t="shared" si="0"/>
        <v>18195.3</v>
      </c>
      <c r="J24" s="91">
        <f>J25+J27+J29</f>
        <v>1307.2</v>
      </c>
      <c r="K24" s="91">
        <f t="shared" si="1"/>
        <v>19502.5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8" customHeight="1">
      <c r="A25" s="123" t="s">
        <v>673</v>
      </c>
      <c r="B25" s="66"/>
      <c r="C25" s="57" t="s">
        <v>24</v>
      </c>
      <c r="D25" s="57" t="s">
        <v>26</v>
      </c>
      <c r="E25" s="57" t="s">
        <v>96</v>
      </c>
      <c r="F25" s="57"/>
      <c r="G25" s="91">
        <f>G26</f>
        <v>13569.1</v>
      </c>
      <c r="H25" s="91">
        <f>H26</f>
        <v>16.8</v>
      </c>
      <c r="I25" s="91">
        <f t="shared" si="0"/>
        <v>13585.9</v>
      </c>
      <c r="J25" s="91">
        <f>J26</f>
        <v>1030</v>
      </c>
      <c r="K25" s="91">
        <f t="shared" si="1"/>
        <v>14615.9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6.5">
      <c r="A26" s="123" t="s">
        <v>438</v>
      </c>
      <c r="B26" s="59"/>
      <c r="C26" s="57" t="s">
        <v>24</v>
      </c>
      <c r="D26" s="57" t="s">
        <v>26</v>
      </c>
      <c r="E26" s="57" t="s">
        <v>96</v>
      </c>
      <c r="F26" s="57" t="s">
        <v>277</v>
      </c>
      <c r="G26" s="91">
        <f>'прил.8'!G181</f>
        <v>13569.1</v>
      </c>
      <c r="H26" s="91">
        <f>'прил.8'!H181</f>
        <v>16.8</v>
      </c>
      <c r="I26" s="91">
        <f t="shared" si="0"/>
        <v>13585.9</v>
      </c>
      <c r="J26" s="91">
        <f>'прил.8'!J181</f>
        <v>1030</v>
      </c>
      <c r="K26" s="91">
        <f t="shared" si="1"/>
        <v>14615.9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8" customHeight="1">
      <c r="A27" s="123" t="s">
        <v>388</v>
      </c>
      <c r="B27" s="59"/>
      <c r="C27" s="57" t="s">
        <v>24</v>
      </c>
      <c r="D27" s="57" t="s">
        <v>26</v>
      </c>
      <c r="E27" s="57" t="s">
        <v>474</v>
      </c>
      <c r="F27" s="57"/>
      <c r="G27" s="91">
        <f>G28</f>
        <v>1725</v>
      </c>
      <c r="H27" s="91">
        <f>H28</f>
        <v>0</v>
      </c>
      <c r="I27" s="91">
        <f t="shared" si="0"/>
        <v>1725</v>
      </c>
      <c r="J27" s="91">
        <f>J28</f>
        <v>150.9</v>
      </c>
      <c r="K27" s="91">
        <f t="shared" si="1"/>
        <v>1875.9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7.25" customHeight="1">
      <c r="A28" s="123" t="s">
        <v>438</v>
      </c>
      <c r="B28" s="59"/>
      <c r="C28" s="67" t="s">
        <v>24</v>
      </c>
      <c r="D28" s="67" t="s">
        <v>26</v>
      </c>
      <c r="E28" s="57" t="s">
        <v>474</v>
      </c>
      <c r="F28" s="57" t="s">
        <v>277</v>
      </c>
      <c r="G28" s="91">
        <f>'прил.8'!G183</f>
        <v>1725</v>
      </c>
      <c r="H28" s="91">
        <f>'прил.8'!H183</f>
        <v>0</v>
      </c>
      <c r="I28" s="91">
        <f t="shared" si="0"/>
        <v>1725</v>
      </c>
      <c r="J28" s="91">
        <f>'прил.8'!J183</f>
        <v>150.9</v>
      </c>
      <c r="K28" s="91">
        <f t="shared" si="1"/>
        <v>1875.9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8.75" customHeight="1">
      <c r="A29" s="123" t="s">
        <v>389</v>
      </c>
      <c r="B29" s="59"/>
      <c r="C29" s="67" t="s">
        <v>24</v>
      </c>
      <c r="D29" s="67" t="s">
        <v>26</v>
      </c>
      <c r="E29" s="57" t="s">
        <v>475</v>
      </c>
      <c r="F29" s="57"/>
      <c r="G29" s="91">
        <f>G30</f>
        <v>2884.4</v>
      </c>
      <c r="H29" s="91">
        <f>H30</f>
        <v>0</v>
      </c>
      <c r="I29" s="91">
        <f t="shared" si="0"/>
        <v>2884.4</v>
      </c>
      <c r="J29" s="91">
        <f>J30</f>
        <v>126.3</v>
      </c>
      <c r="K29" s="91">
        <f t="shared" si="1"/>
        <v>3010.7000000000003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6.5" customHeight="1">
      <c r="A30" s="123" t="s">
        <v>438</v>
      </c>
      <c r="B30" s="59"/>
      <c r="C30" s="67" t="s">
        <v>24</v>
      </c>
      <c r="D30" s="67" t="s">
        <v>26</v>
      </c>
      <c r="E30" s="57" t="s">
        <v>475</v>
      </c>
      <c r="F30" s="57" t="s">
        <v>277</v>
      </c>
      <c r="G30" s="91">
        <f>'прил.8'!G185</f>
        <v>2884.4</v>
      </c>
      <c r="H30" s="91">
        <f>'прил.8'!H185</f>
        <v>0</v>
      </c>
      <c r="I30" s="91">
        <f t="shared" si="0"/>
        <v>2884.4</v>
      </c>
      <c r="J30" s="91">
        <f>'прил.8'!J185</f>
        <v>126.3</v>
      </c>
      <c r="K30" s="91">
        <f t="shared" si="1"/>
        <v>3010.7000000000003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53.25" customHeight="1">
      <c r="A31" s="123" t="s">
        <v>97</v>
      </c>
      <c r="B31" s="65"/>
      <c r="C31" s="57" t="s">
        <v>24</v>
      </c>
      <c r="D31" s="57" t="s">
        <v>27</v>
      </c>
      <c r="E31" s="57"/>
      <c r="F31" s="57"/>
      <c r="G31" s="91">
        <f>G32+G35</f>
        <v>93465.7</v>
      </c>
      <c r="H31" s="91">
        <f>H32+H35</f>
        <v>-358.4000000000001</v>
      </c>
      <c r="I31" s="91">
        <f t="shared" si="0"/>
        <v>93107.3</v>
      </c>
      <c r="J31" s="91">
        <f>J32+J35</f>
        <v>9383.2</v>
      </c>
      <c r="K31" s="91">
        <f t="shared" si="1"/>
        <v>102490.5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53.25" customHeight="1">
      <c r="A32" s="123" t="s">
        <v>93</v>
      </c>
      <c r="B32" s="65"/>
      <c r="C32" s="57" t="s">
        <v>24</v>
      </c>
      <c r="D32" s="57" t="s">
        <v>27</v>
      </c>
      <c r="E32" s="57" t="s">
        <v>94</v>
      </c>
      <c r="F32" s="57"/>
      <c r="G32" s="91">
        <f aca="true" t="shared" si="3" ref="G32:J33">G33</f>
        <v>91838.5</v>
      </c>
      <c r="H32" s="91">
        <f t="shared" si="3"/>
        <v>-358.4000000000001</v>
      </c>
      <c r="I32" s="91">
        <f t="shared" si="0"/>
        <v>91480.1</v>
      </c>
      <c r="J32" s="91">
        <f t="shared" si="3"/>
        <v>9383.2</v>
      </c>
      <c r="K32" s="91">
        <f t="shared" si="1"/>
        <v>100863.3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6.5">
      <c r="A33" s="123" t="s">
        <v>673</v>
      </c>
      <c r="B33" s="66"/>
      <c r="C33" s="57" t="s">
        <v>24</v>
      </c>
      <c r="D33" s="57" t="s">
        <v>27</v>
      </c>
      <c r="E33" s="57" t="s">
        <v>96</v>
      </c>
      <c r="F33" s="57"/>
      <c r="G33" s="91">
        <f t="shared" si="3"/>
        <v>91838.5</v>
      </c>
      <c r="H33" s="91">
        <f t="shared" si="3"/>
        <v>-358.4000000000001</v>
      </c>
      <c r="I33" s="91">
        <f t="shared" si="0"/>
        <v>91480.1</v>
      </c>
      <c r="J33" s="91">
        <f t="shared" si="3"/>
        <v>9383.2</v>
      </c>
      <c r="K33" s="91">
        <f t="shared" si="1"/>
        <v>100863.3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6.5" customHeight="1">
      <c r="A34" s="123" t="s">
        <v>438</v>
      </c>
      <c r="B34" s="59"/>
      <c r="C34" s="57" t="s">
        <v>24</v>
      </c>
      <c r="D34" s="57" t="s">
        <v>27</v>
      </c>
      <c r="E34" s="57" t="s">
        <v>96</v>
      </c>
      <c r="F34" s="57" t="s">
        <v>277</v>
      </c>
      <c r="G34" s="91">
        <f>'прил.8'!G27</f>
        <v>91838.5</v>
      </c>
      <c r="H34" s="91">
        <f>'прил.8'!H27</f>
        <v>-358.4000000000001</v>
      </c>
      <c r="I34" s="91">
        <f t="shared" si="0"/>
        <v>91480.1</v>
      </c>
      <c r="J34" s="91">
        <f>'прил.8'!J27</f>
        <v>9383.2</v>
      </c>
      <c r="K34" s="91">
        <f t="shared" si="1"/>
        <v>100863.3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6.5" customHeight="1">
      <c r="A35" s="120" t="s">
        <v>718</v>
      </c>
      <c r="B35" s="59"/>
      <c r="C35" s="67" t="s">
        <v>24</v>
      </c>
      <c r="D35" s="67" t="s">
        <v>27</v>
      </c>
      <c r="E35" s="67" t="s">
        <v>80</v>
      </c>
      <c r="F35" s="67"/>
      <c r="G35" s="91">
        <f>G36+G38+G40</f>
        <v>1627.2</v>
      </c>
      <c r="H35" s="91">
        <f>H36+H38+H40</f>
        <v>0</v>
      </c>
      <c r="I35" s="91">
        <f t="shared" si="0"/>
        <v>1627.2</v>
      </c>
      <c r="J35" s="91">
        <f>J36+J38+J40</f>
        <v>0</v>
      </c>
      <c r="K35" s="91">
        <f t="shared" si="1"/>
        <v>1627.2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54" customHeight="1">
      <c r="A36" s="120" t="s">
        <v>418</v>
      </c>
      <c r="B36" s="59"/>
      <c r="C36" s="67" t="s">
        <v>24</v>
      </c>
      <c r="D36" s="67" t="s">
        <v>27</v>
      </c>
      <c r="E36" s="67" t="s">
        <v>414</v>
      </c>
      <c r="F36" s="67"/>
      <c r="G36" s="91">
        <f>G37</f>
        <v>1073.8</v>
      </c>
      <c r="H36" s="91">
        <f>H37</f>
        <v>0</v>
      </c>
      <c r="I36" s="91">
        <f t="shared" si="0"/>
        <v>1073.8</v>
      </c>
      <c r="J36" s="91">
        <f>J37</f>
        <v>0</v>
      </c>
      <c r="K36" s="91">
        <f t="shared" si="1"/>
        <v>1073.8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6.5" customHeight="1">
      <c r="A37" s="124" t="s">
        <v>453</v>
      </c>
      <c r="B37" s="59"/>
      <c r="C37" s="67" t="s">
        <v>24</v>
      </c>
      <c r="D37" s="67" t="s">
        <v>27</v>
      </c>
      <c r="E37" s="67" t="s">
        <v>414</v>
      </c>
      <c r="F37" s="67" t="s">
        <v>275</v>
      </c>
      <c r="G37" s="91">
        <f>'прил.8'!G30</f>
        <v>1073.8</v>
      </c>
      <c r="H37" s="91">
        <f>'прил.8'!H30</f>
        <v>0</v>
      </c>
      <c r="I37" s="91">
        <f t="shared" si="0"/>
        <v>1073.8</v>
      </c>
      <c r="J37" s="91">
        <f>'прил.8'!J30</f>
        <v>0</v>
      </c>
      <c r="K37" s="91">
        <f t="shared" si="1"/>
        <v>1073.8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51" customHeight="1">
      <c r="A38" s="124" t="s">
        <v>512</v>
      </c>
      <c r="B38" s="59"/>
      <c r="C38" s="67" t="s">
        <v>24</v>
      </c>
      <c r="D38" s="67" t="s">
        <v>27</v>
      </c>
      <c r="E38" s="67" t="s">
        <v>415</v>
      </c>
      <c r="F38" s="67"/>
      <c r="G38" s="91">
        <f>G39</f>
        <v>552.7</v>
      </c>
      <c r="H38" s="91">
        <f>H39</f>
        <v>0</v>
      </c>
      <c r="I38" s="91">
        <f t="shared" si="0"/>
        <v>552.7</v>
      </c>
      <c r="J38" s="91">
        <f>J39</f>
        <v>0</v>
      </c>
      <c r="K38" s="91">
        <f t="shared" si="1"/>
        <v>552.7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21" customHeight="1">
      <c r="A39" s="124" t="s">
        <v>453</v>
      </c>
      <c r="B39" s="59"/>
      <c r="C39" s="67" t="s">
        <v>24</v>
      </c>
      <c r="D39" s="67" t="s">
        <v>27</v>
      </c>
      <c r="E39" s="67" t="s">
        <v>415</v>
      </c>
      <c r="F39" s="67" t="s">
        <v>275</v>
      </c>
      <c r="G39" s="91">
        <f>'прил.8'!G32</f>
        <v>552.7</v>
      </c>
      <c r="H39" s="91">
        <f>'прил.8'!H32</f>
        <v>0</v>
      </c>
      <c r="I39" s="91">
        <f t="shared" si="0"/>
        <v>552.7</v>
      </c>
      <c r="J39" s="91">
        <f>'прил.8'!J32</f>
        <v>0</v>
      </c>
      <c r="K39" s="91">
        <f t="shared" si="1"/>
        <v>552.7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84" customHeight="1">
      <c r="A40" s="124" t="s">
        <v>691</v>
      </c>
      <c r="B40" s="59"/>
      <c r="C40" s="67" t="s">
        <v>24</v>
      </c>
      <c r="D40" s="67" t="s">
        <v>27</v>
      </c>
      <c r="E40" s="67" t="s">
        <v>416</v>
      </c>
      <c r="F40" s="67"/>
      <c r="G40" s="91">
        <f>G41</f>
        <v>0.7</v>
      </c>
      <c r="H40" s="91">
        <f>H41</f>
        <v>0</v>
      </c>
      <c r="I40" s="91">
        <f t="shared" si="0"/>
        <v>0.7</v>
      </c>
      <c r="J40" s="91">
        <f>J41</f>
        <v>0</v>
      </c>
      <c r="K40" s="91">
        <f t="shared" si="1"/>
        <v>0.7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6.5" customHeight="1">
      <c r="A41" s="124" t="s">
        <v>453</v>
      </c>
      <c r="B41" s="59"/>
      <c r="C41" s="67" t="s">
        <v>24</v>
      </c>
      <c r="D41" s="67" t="s">
        <v>27</v>
      </c>
      <c r="E41" s="67" t="s">
        <v>416</v>
      </c>
      <c r="F41" s="67" t="s">
        <v>275</v>
      </c>
      <c r="G41" s="91">
        <f>'прил.8'!G34</f>
        <v>0.7</v>
      </c>
      <c r="H41" s="91">
        <f>'прил.8'!H34</f>
        <v>0</v>
      </c>
      <c r="I41" s="91">
        <f t="shared" si="0"/>
        <v>0.7</v>
      </c>
      <c r="J41" s="91">
        <f>'прил.8'!J34</f>
        <v>0</v>
      </c>
      <c r="K41" s="91">
        <f t="shared" si="1"/>
        <v>0.7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8" customHeight="1">
      <c r="A42" s="123" t="s">
        <v>709</v>
      </c>
      <c r="B42" s="59"/>
      <c r="C42" s="57" t="s">
        <v>24</v>
      </c>
      <c r="D42" s="57" t="s">
        <v>108</v>
      </c>
      <c r="E42" s="57"/>
      <c r="F42" s="57"/>
      <c r="G42" s="91">
        <f aca="true" t="shared" si="4" ref="G42:J43">G43</f>
        <v>0</v>
      </c>
      <c r="H42" s="91">
        <f t="shared" si="4"/>
        <v>0</v>
      </c>
      <c r="I42" s="91">
        <f t="shared" si="0"/>
        <v>0</v>
      </c>
      <c r="J42" s="91">
        <f t="shared" si="4"/>
        <v>27.1</v>
      </c>
      <c r="K42" s="91">
        <f t="shared" si="1"/>
        <v>27.1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54.75" customHeight="1">
      <c r="A43" s="123" t="s">
        <v>175</v>
      </c>
      <c r="B43" s="59"/>
      <c r="C43" s="57" t="s">
        <v>24</v>
      </c>
      <c r="D43" s="57" t="s">
        <v>108</v>
      </c>
      <c r="E43" s="57" t="s">
        <v>396</v>
      </c>
      <c r="F43" s="57"/>
      <c r="G43" s="91">
        <f t="shared" si="4"/>
        <v>0</v>
      </c>
      <c r="H43" s="91">
        <f t="shared" si="4"/>
        <v>0</v>
      </c>
      <c r="I43" s="91">
        <f t="shared" si="0"/>
        <v>0</v>
      </c>
      <c r="J43" s="91">
        <f t="shared" si="4"/>
        <v>27.1</v>
      </c>
      <c r="K43" s="91">
        <f t="shared" si="1"/>
        <v>27.1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9.5" customHeight="1">
      <c r="A44" s="125" t="s">
        <v>711</v>
      </c>
      <c r="B44" s="59"/>
      <c r="C44" s="57" t="s">
        <v>24</v>
      </c>
      <c r="D44" s="57" t="s">
        <v>108</v>
      </c>
      <c r="E44" s="57" t="s">
        <v>396</v>
      </c>
      <c r="F44" s="57" t="s">
        <v>275</v>
      </c>
      <c r="G44" s="91">
        <f>'прил.8'!G37</f>
        <v>0</v>
      </c>
      <c r="H44" s="91">
        <f>'прил.8'!H37</f>
        <v>0</v>
      </c>
      <c r="I44" s="91">
        <f t="shared" si="0"/>
        <v>0</v>
      </c>
      <c r="J44" s="91">
        <f>'прил.8'!J37</f>
        <v>27.1</v>
      </c>
      <c r="K44" s="91">
        <f t="shared" si="1"/>
        <v>27.1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33" customHeight="1">
      <c r="A45" s="121" t="s">
        <v>189</v>
      </c>
      <c r="B45" s="58"/>
      <c r="C45" s="57" t="s">
        <v>24</v>
      </c>
      <c r="D45" s="57" t="s">
        <v>28</v>
      </c>
      <c r="E45" s="57"/>
      <c r="F45" s="57"/>
      <c r="G45" s="91">
        <f>G46+G49</f>
        <v>26238.7</v>
      </c>
      <c r="H45" s="91">
        <f>H46+H49</f>
        <v>15.4</v>
      </c>
      <c r="I45" s="91">
        <f t="shared" si="0"/>
        <v>26254.100000000002</v>
      </c>
      <c r="J45" s="91">
        <f>J46+J49</f>
        <v>2563.8</v>
      </c>
      <c r="K45" s="91">
        <f t="shared" si="1"/>
        <v>28817.9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51.75" customHeight="1">
      <c r="A46" s="123" t="s">
        <v>93</v>
      </c>
      <c r="B46" s="58"/>
      <c r="C46" s="57" t="s">
        <v>24</v>
      </c>
      <c r="D46" s="57" t="s">
        <v>28</v>
      </c>
      <c r="E46" s="57" t="s">
        <v>94</v>
      </c>
      <c r="F46" s="57"/>
      <c r="G46" s="91">
        <f aca="true" t="shared" si="5" ref="G46:J47">G47</f>
        <v>25995.3</v>
      </c>
      <c r="H46" s="91">
        <f t="shared" si="5"/>
        <v>15.4</v>
      </c>
      <c r="I46" s="91">
        <f t="shared" si="0"/>
        <v>26010.7</v>
      </c>
      <c r="J46" s="91">
        <f t="shared" si="5"/>
        <v>2563.8</v>
      </c>
      <c r="K46" s="91">
        <f t="shared" si="1"/>
        <v>28574.5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6.5">
      <c r="A47" s="123" t="s">
        <v>673</v>
      </c>
      <c r="B47" s="66"/>
      <c r="C47" s="57" t="s">
        <v>24</v>
      </c>
      <c r="D47" s="57" t="s">
        <v>28</v>
      </c>
      <c r="E47" s="57" t="s">
        <v>96</v>
      </c>
      <c r="F47" s="57"/>
      <c r="G47" s="91">
        <f t="shared" si="5"/>
        <v>25995.3</v>
      </c>
      <c r="H47" s="91">
        <f t="shared" si="5"/>
        <v>15.4</v>
      </c>
      <c r="I47" s="91">
        <f t="shared" si="0"/>
        <v>26010.7</v>
      </c>
      <c r="J47" s="91">
        <f t="shared" si="5"/>
        <v>2563.8</v>
      </c>
      <c r="K47" s="91">
        <f t="shared" si="1"/>
        <v>28574.5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6.5">
      <c r="A48" s="123" t="s">
        <v>438</v>
      </c>
      <c r="B48" s="59"/>
      <c r="C48" s="57" t="s">
        <v>24</v>
      </c>
      <c r="D48" s="57" t="s">
        <v>28</v>
      </c>
      <c r="E48" s="57" t="s">
        <v>96</v>
      </c>
      <c r="F48" s="57" t="s">
        <v>277</v>
      </c>
      <c r="G48" s="91">
        <f>'прил.8'!G573</f>
        <v>25995.3</v>
      </c>
      <c r="H48" s="91">
        <f>'прил.8'!H573</f>
        <v>15.4</v>
      </c>
      <c r="I48" s="91">
        <f t="shared" si="0"/>
        <v>26010.7</v>
      </c>
      <c r="J48" s="91">
        <f>'прил.8'!J573</f>
        <v>2563.8</v>
      </c>
      <c r="K48" s="91">
        <f t="shared" si="1"/>
        <v>28574.5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6.5">
      <c r="A49" s="120" t="s">
        <v>718</v>
      </c>
      <c r="B49" s="59"/>
      <c r="C49" s="67" t="s">
        <v>24</v>
      </c>
      <c r="D49" s="67" t="s">
        <v>28</v>
      </c>
      <c r="E49" s="67" t="s">
        <v>80</v>
      </c>
      <c r="F49" s="67"/>
      <c r="G49" s="91">
        <f aca="true" t="shared" si="6" ref="G49:J50">G50</f>
        <v>243.4</v>
      </c>
      <c r="H49" s="91">
        <f t="shared" si="6"/>
        <v>0</v>
      </c>
      <c r="I49" s="91">
        <f t="shared" si="0"/>
        <v>243.4</v>
      </c>
      <c r="J49" s="91">
        <f t="shared" si="6"/>
        <v>0</v>
      </c>
      <c r="K49" s="91">
        <f t="shared" si="1"/>
        <v>243.4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35.25" customHeight="1">
      <c r="A50" s="126" t="s">
        <v>754</v>
      </c>
      <c r="B50" s="59"/>
      <c r="C50" s="67" t="s">
        <v>24</v>
      </c>
      <c r="D50" s="67" t="s">
        <v>28</v>
      </c>
      <c r="E50" s="67" t="s">
        <v>412</v>
      </c>
      <c r="F50" s="67"/>
      <c r="G50" s="91">
        <f t="shared" si="6"/>
        <v>243.4</v>
      </c>
      <c r="H50" s="91">
        <f t="shared" si="6"/>
        <v>0</v>
      </c>
      <c r="I50" s="91">
        <f t="shared" si="0"/>
        <v>243.4</v>
      </c>
      <c r="J50" s="91">
        <f t="shared" si="6"/>
        <v>0</v>
      </c>
      <c r="K50" s="91">
        <f t="shared" si="1"/>
        <v>243.4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6.5">
      <c r="A51" s="126" t="s">
        <v>711</v>
      </c>
      <c r="B51" s="59"/>
      <c r="C51" s="67" t="s">
        <v>24</v>
      </c>
      <c r="D51" s="67" t="s">
        <v>28</v>
      </c>
      <c r="E51" s="67" t="s">
        <v>412</v>
      </c>
      <c r="F51" s="67" t="s">
        <v>275</v>
      </c>
      <c r="G51" s="96">
        <f>'прил.8'!G576</f>
        <v>243.4</v>
      </c>
      <c r="H51" s="96"/>
      <c r="I51" s="91">
        <f t="shared" si="0"/>
        <v>243.4</v>
      </c>
      <c r="J51" s="96"/>
      <c r="K51" s="91">
        <f t="shared" si="1"/>
        <v>243.4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6.5">
      <c r="A52" s="127" t="s">
        <v>634</v>
      </c>
      <c r="B52" s="68">
        <v>842</v>
      </c>
      <c r="C52" s="62" t="s">
        <v>24</v>
      </c>
      <c r="D52" s="57" t="s">
        <v>625</v>
      </c>
      <c r="E52" s="57"/>
      <c r="F52" s="57"/>
      <c r="G52" s="91">
        <f aca="true" t="shared" si="7" ref="G52:J54">G53</f>
        <v>2005.6</v>
      </c>
      <c r="H52" s="91">
        <f t="shared" si="7"/>
        <v>0</v>
      </c>
      <c r="I52" s="91">
        <f t="shared" si="0"/>
        <v>2005.6</v>
      </c>
      <c r="J52" s="91">
        <f t="shared" si="7"/>
        <v>-1341.8</v>
      </c>
      <c r="K52" s="91">
        <f t="shared" si="1"/>
        <v>663.8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8.75" customHeight="1">
      <c r="A53" s="128" t="s">
        <v>714</v>
      </c>
      <c r="B53" s="68">
        <v>842</v>
      </c>
      <c r="C53" s="62" t="s">
        <v>24</v>
      </c>
      <c r="D53" s="57" t="s">
        <v>625</v>
      </c>
      <c r="E53" s="57" t="s">
        <v>77</v>
      </c>
      <c r="F53" s="57"/>
      <c r="G53" s="91">
        <f t="shared" si="7"/>
        <v>2005.6</v>
      </c>
      <c r="H53" s="91">
        <f t="shared" si="7"/>
        <v>0</v>
      </c>
      <c r="I53" s="91">
        <f t="shared" si="0"/>
        <v>2005.6</v>
      </c>
      <c r="J53" s="91">
        <f t="shared" si="7"/>
        <v>-1341.8</v>
      </c>
      <c r="K53" s="91">
        <f t="shared" si="1"/>
        <v>663.8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33" customHeight="1">
      <c r="A54" s="123" t="s">
        <v>75</v>
      </c>
      <c r="B54" s="68">
        <v>842</v>
      </c>
      <c r="C54" s="62" t="s">
        <v>24</v>
      </c>
      <c r="D54" s="57" t="s">
        <v>625</v>
      </c>
      <c r="E54" s="57" t="s">
        <v>76</v>
      </c>
      <c r="F54" s="57"/>
      <c r="G54" s="91">
        <f t="shared" si="7"/>
        <v>2005.6</v>
      </c>
      <c r="H54" s="91">
        <f t="shared" si="7"/>
        <v>0</v>
      </c>
      <c r="I54" s="91">
        <f t="shared" si="0"/>
        <v>2005.6</v>
      </c>
      <c r="J54" s="91">
        <f t="shared" si="7"/>
        <v>-1341.8</v>
      </c>
      <c r="K54" s="91">
        <f t="shared" si="1"/>
        <v>663.8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6.5">
      <c r="A55" s="123" t="s">
        <v>438</v>
      </c>
      <c r="B55" s="68">
        <v>842</v>
      </c>
      <c r="C55" s="62" t="s">
        <v>24</v>
      </c>
      <c r="D55" s="57" t="s">
        <v>625</v>
      </c>
      <c r="E55" s="57" t="s">
        <v>96</v>
      </c>
      <c r="F55" s="57" t="s">
        <v>277</v>
      </c>
      <c r="G55" s="91">
        <f>'прил.8'!G41</f>
        <v>2005.6</v>
      </c>
      <c r="H55" s="91">
        <f>'прил.8'!H41</f>
        <v>0</v>
      </c>
      <c r="I55" s="91">
        <f t="shared" si="0"/>
        <v>2005.6</v>
      </c>
      <c r="J55" s="91">
        <f>'прил.8'!J41</f>
        <v>-1341.8</v>
      </c>
      <c r="K55" s="91">
        <f t="shared" si="1"/>
        <v>663.8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6.5">
      <c r="A56" s="121" t="s">
        <v>395</v>
      </c>
      <c r="B56" s="68"/>
      <c r="C56" s="57" t="s">
        <v>24</v>
      </c>
      <c r="D56" s="57" t="s">
        <v>111</v>
      </c>
      <c r="E56" s="57"/>
      <c r="F56" s="57"/>
      <c r="G56" s="91">
        <f aca="true" t="shared" si="8" ref="G56:J58">G57</f>
        <v>40643.399999999994</v>
      </c>
      <c r="H56" s="91">
        <f t="shared" si="8"/>
        <v>-22066.199999999997</v>
      </c>
      <c r="I56" s="91">
        <f t="shared" si="0"/>
        <v>18577.199999999997</v>
      </c>
      <c r="J56" s="91">
        <f t="shared" si="8"/>
        <v>-6186.1</v>
      </c>
      <c r="K56" s="91">
        <f t="shared" si="1"/>
        <v>12391.099999999997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6.5">
      <c r="A57" s="121" t="s">
        <v>715</v>
      </c>
      <c r="B57" s="68"/>
      <c r="C57" s="57" t="s">
        <v>24</v>
      </c>
      <c r="D57" s="57" t="s">
        <v>111</v>
      </c>
      <c r="E57" s="57" t="s">
        <v>394</v>
      </c>
      <c r="F57" s="57"/>
      <c r="G57" s="91">
        <f t="shared" si="8"/>
        <v>40643.399999999994</v>
      </c>
      <c r="H57" s="91">
        <f t="shared" si="8"/>
        <v>-22066.199999999997</v>
      </c>
      <c r="I57" s="91">
        <f t="shared" si="0"/>
        <v>18577.199999999997</v>
      </c>
      <c r="J57" s="91">
        <f t="shared" si="8"/>
        <v>-6186.1</v>
      </c>
      <c r="K57" s="91">
        <f t="shared" si="1"/>
        <v>12391.099999999997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22" customFormat="1" ht="16.5">
      <c r="A58" s="121" t="s">
        <v>631</v>
      </c>
      <c r="B58" s="68"/>
      <c r="C58" s="57" t="s">
        <v>24</v>
      </c>
      <c r="D58" s="57" t="s">
        <v>111</v>
      </c>
      <c r="E58" s="57" t="s">
        <v>632</v>
      </c>
      <c r="F58" s="57"/>
      <c r="G58" s="91">
        <f t="shared" si="8"/>
        <v>40643.399999999994</v>
      </c>
      <c r="H58" s="91">
        <f t="shared" si="8"/>
        <v>-22066.199999999997</v>
      </c>
      <c r="I58" s="91">
        <f t="shared" si="0"/>
        <v>18577.199999999997</v>
      </c>
      <c r="J58" s="91">
        <f t="shared" si="8"/>
        <v>-6186.1</v>
      </c>
      <c r="K58" s="91">
        <f t="shared" si="1"/>
        <v>12391.099999999997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23" customFormat="1" ht="16.5">
      <c r="A59" s="121" t="s">
        <v>227</v>
      </c>
      <c r="B59" s="68"/>
      <c r="C59" s="57" t="s">
        <v>24</v>
      </c>
      <c r="D59" s="57" t="s">
        <v>111</v>
      </c>
      <c r="E59" s="57" t="s">
        <v>632</v>
      </c>
      <c r="F59" s="57" t="s">
        <v>652</v>
      </c>
      <c r="G59" s="91">
        <f>'прил.8'!G580</f>
        <v>40643.399999999994</v>
      </c>
      <c r="H59" s="91">
        <f>'прил.8'!H580</f>
        <v>-22066.199999999997</v>
      </c>
      <c r="I59" s="91">
        <f t="shared" si="0"/>
        <v>18577.199999999997</v>
      </c>
      <c r="J59" s="91">
        <f>'прил.8'!J580</f>
        <v>-6186.1</v>
      </c>
      <c r="K59" s="91">
        <f t="shared" si="1"/>
        <v>12391.099999999997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6.5">
      <c r="A60" s="121" t="s">
        <v>397</v>
      </c>
      <c r="B60" s="58"/>
      <c r="C60" s="57" t="s">
        <v>24</v>
      </c>
      <c r="D60" s="57" t="s">
        <v>606</v>
      </c>
      <c r="E60" s="57"/>
      <c r="F60" s="57"/>
      <c r="G60" s="91">
        <f>G63+G66+G69+G75+G80+G91+G95+G61</f>
        <v>119638.09999999999</v>
      </c>
      <c r="H60" s="91">
        <f>H63+H66+H69+H75+H80+H91+H95+H61</f>
        <v>2384.4</v>
      </c>
      <c r="I60" s="91">
        <f t="shared" si="0"/>
        <v>122022.49999999999</v>
      </c>
      <c r="J60" s="91">
        <f>J63+J66+J69+J75+J80+J91+J95+J61</f>
        <v>15231.400000000001</v>
      </c>
      <c r="K60" s="91">
        <f t="shared" si="1"/>
        <v>137253.9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31.5" customHeight="1">
      <c r="A61" s="120" t="s">
        <v>760</v>
      </c>
      <c r="B61" s="58"/>
      <c r="C61" s="57" t="s">
        <v>24</v>
      </c>
      <c r="D61" s="57" t="s">
        <v>606</v>
      </c>
      <c r="E61" s="57" t="s">
        <v>282</v>
      </c>
      <c r="F61" s="57"/>
      <c r="G61" s="91">
        <f>G62</f>
        <v>2768</v>
      </c>
      <c r="H61" s="91">
        <f>H62</f>
        <v>0</v>
      </c>
      <c r="I61" s="91">
        <f t="shared" si="0"/>
        <v>2768</v>
      </c>
      <c r="J61" s="91">
        <f>J62</f>
        <v>0</v>
      </c>
      <c r="K61" s="91">
        <f t="shared" si="1"/>
        <v>2768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6.5">
      <c r="A62" s="123" t="s">
        <v>453</v>
      </c>
      <c r="B62" s="58"/>
      <c r="C62" s="57" t="s">
        <v>24</v>
      </c>
      <c r="D62" s="57" t="s">
        <v>606</v>
      </c>
      <c r="E62" s="57" t="s">
        <v>282</v>
      </c>
      <c r="F62" s="57" t="s">
        <v>275</v>
      </c>
      <c r="G62" s="91">
        <f>'прил.8'!G901</f>
        <v>2768</v>
      </c>
      <c r="H62" s="91">
        <f>'прил.8'!H901</f>
        <v>0</v>
      </c>
      <c r="I62" s="91">
        <f t="shared" si="0"/>
        <v>2768</v>
      </c>
      <c r="J62" s="91">
        <f>'прил.8'!J901</f>
        <v>0</v>
      </c>
      <c r="K62" s="91">
        <f t="shared" si="1"/>
        <v>2768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6.5">
      <c r="A63" s="121" t="s">
        <v>716</v>
      </c>
      <c r="B63" s="68"/>
      <c r="C63" s="57" t="s">
        <v>24</v>
      </c>
      <c r="D63" s="57" t="s">
        <v>606</v>
      </c>
      <c r="E63" s="69" t="s">
        <v>94</v>
      </c>
      <c r="F63" s="70"/>
      <c r="G63" s="91">
        <f aca="true" t="shared" si="9" ref="G63:J64">G64</f>
        <v>1629</v>
      </c>
      <c r="H63" s="91">
        <f t="shared" si="9"/>
        <v>0</v>
      </c>
      <c r="I63" s="91">
        <f t="shared" si="0"/>
        <v>1629</v>
      </c>
      <c r="J63" s="91">
        <f t="shared" si="9"/>
        <v>0</v>
      </c>
      <c r="K63" s="91">
        <f t="shared" si="1"/>
        <v>1629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5.25" customHeight="1">
      <c r="A64" s="121" t="s">
        <v>261</v>
      </c>
      <c r="B64" s="68"/>
      <c r="C64" s="57" t="s">
        <v>24</v>
      </c>
      <c r="D64" s="57" t="s">
        <v>606</v>
      </c>
      <c r="E64" s="57" t="s">
        <v>260</v>
      </c>
      <c r="F64" s="57"/>
      <c r="G64" s="91">
        <f t="shared" si="9"/>
        <v>1629</v>
      </c>
      <c r="H64" s="91">
        <f t="shared" si="9"/>
        <v>0</v>
      </c>
      <c r="I64" s="91">
        <f t="shared" si="0"/>
        <v>1629</v>
      </c>
      <c r="J64" s="91">
        <f t="shared" si="9"/>
        <v>0</v>
      </c>
      <c r="K64" s="91">
        <f t="shared" si="1"/>
        <v>1629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6.5">
      <c r="A65" s="123" t="s">
        <v>438</v>
      </c>
      <c r="B65" s="68"/>
      <c r="C65" s="57" t="s">
        <v>24</v>
      </c>
      <c r="D65" s="57" t="s">
        <v>606</v>
      </c>
      <c r="E65" s="57" t="s">
        <v>260</v>
      </c>
      <c r="F65" s="57" t="s">
        <v>277</v>
      </c>
      <c r="G65" s="91">
        <f>'прил.8'!G905</f>
        <v>1629</v>
      </c>
      <c r="H65" s="91">
        <f>'прил.8'!H905</f>
        <v>0</v>
      </c>
      <c r="I65" s="91">
        <f t="shared" si="0"/>
        <v>1629</v>
      </c>
      <c r="J65" s="91">
        <f>'прил.8'!J905</f>
        <v>0</v>
      </c>
      <c r="K65" s="91">
        <f t="shared" si="1"/>
        <v>1629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3.75" customHeight="1">
      <c r="A66" s="124" t="s">
        <v>187</v>
      </c>
      <c r="B66" s="68"/>
      <c r="C66" s="57" t="s">
        <v>24</v>
      </c>
      <c r="D66" s="57" t="s">
        <v>606</v>
      </c>
      <c r="E66" s="57" t="s">
        <v>262</v>
      </c>
      <c r="F66" s="57"/>
      <c r="G66" s="91">
        <f aca="true" t="shared" si="10" ref="G66:J67">G67</f>
        <v>6778.4</v>
      </c>
      <c r="H66" s="91">
        <f t="shared" si="10"/>
        <v>0</v>
      </c>
      <c r="I66" s="91">
        <f t="shared" si="0"/>
        <v>6778.4</v>
      </c>
      <c r="J66" s="91">
        <f t="shared" si="10"/>
        <v>0</v>
      </c>
      <c r="K66" s="91">
        <f t="shared" si="1"/>
        <v>6778.4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33.75" customHeight="1">
      <c r="A67" s="127" t="s">
        <v>382</v>
      </c>
      <c r="B67" s="68"/>
      <c r="C67" s="57" t="s">
        <v>24</v>
      </c>
      <c r="D67" s="57" t="s">
        <v>606</v>
      </c>
      <c r="E67" s="57" t="s">
        <v>264</v>
      </c>
      <c r="F67" s="57"/>
      <c r="G67" s="91">
        <f t="shared" si="10"/>
        <v>6778.4</v>
      </c>
      <c r="H67" s="91">
        <f t="shared" si="10"/>
        <v>0</v>
      </c>
      <c r="I67" s="91">
        <f t="shared" si="0"/>
        <v>6778.4</v>
      </c>
      <c r="J67" s="91">
        <f t="shared" si="10"/>
        <v>0</v>
      </c>
      <c r="K67" s="91">
        <f t="shared" si="1"/>
        <v>6778.4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6.5">
      <c r="A68" s="123" t="s">
        <v>438</v>
      </c>
      <c r="B68" s="68"/>
      <c r="C68" s="57" t="s">
        <v>24</v>
      </c>
      <c r="D68" s="57" t="s">
        <v>606</v>
      </c>
      <c r="E68" s="57" t="s">
        <v>264</v>
      </c>
      <c r="F68" s="57" t="s">
        <v>277</v>
      </c>
      <c r="G68" s="91">
        <f>'прил.8'!G908</f>
        <v>6778.4</v>
      </c>
      <c r="H68" s="91">
        <f>'прил.8'!H908</f>
        <v>0</v>
      </c>
      <c r="I68" s="91">
        <f t="shared" si="0"/>
        <v>6778.4</v>
      </c>
      <c r="J68" s="91">
        <f>'прил.8'!J908</f>
        <v>0</v>
      </c>
      <c r="K68" s="91">
        <f t="shared" si="1"/>
        <v>6778.4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21" customHeight="1">
      <c r="A69" s="129" t="s">
        <v>70</v>
      </c>
      <c r="B69" s="68"/>
      <c r="C69" s="57" t="s">
        <v>24</v>
      </c>
      <c r="D69" s="57" t="s">
        <v>606</v>
      </c>
      <c r="E69" s="57" t="s">
        <v>432</v>
      </c>
      <c r="F69" s="57"/>
      <c r="G69" s="91">
        <f>G70+G73</f>
        <v>95416.5</v>
      </c>
      <c r="H69" s="91">
        <f>H70+H73</f>
        <v>2367</v>
      </c>
      <c r="I69" s="91">
        <f t="shared" si="0"/>
        <v>97783.5</v>
      </c>
      <c r="J69" s="91">
        <f>J70+J73</f>
        <v>14172.900000000001</v>
      </c>
      <c r="K69" s="91">
        <f t="shared" si="1"/>
        <v>111956.4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8.75" customHeight="1">
      <c r="A70" s="123" t="s">
        <v>71</v>
      </c>
      <c r="B70" s="68"/>
      <c r="C70" s="57" t="s">
        <v>24</v>
      </c>
      <c r="D70" s="57" t="s">
        <v>606</v>
      </c>
      <c r="E70" s="57" t="s">
        <v>490</v>
      </c>
      <c r="F70" s="57"/>
      <c r="G70" s="91">
        <f>G71+G72</f>
        <v>9603.5</v>
      </c>
      <c r="H70" s="91">
        <f>H71+H72</f>
        <v>2974.4</v>
      </c>
      <c r="I70" s="91">
        <f t="shared" si="0"/>
        <v>12577.9</v>
      </c>
      <c r="J70" s="91">
        <f>J71+J72</f>
        <v>7813.6</v>
      </c>
      <c r="K70" s="91">
        <f t="shared" si="1"/>
        <v>20391.5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8.75" customHeight="1">
      <c r="A71" s="121" t="s">
        <v>733</v>
      </c>
      <c r="B71" s="68"/>
      <c r="C71" s="57" t="s">
        <v>24</v>
      </c>
      <c r="D71" s="57" t="s">
        <v>606</v>
      </c>
      <c r="E71" s="57" t="s">
        <v>490</v>
      </c>
      <c r="F71" s="57" t="s">
        <v>318</v>
      </c>
      <c r="G71" s="91">
        <f>'прил.8'!G45</f>
        <v>700</v>
      </c>
      <c r="H71" s="91">
        <f>'прил.8'!H45</f>
        <v>0</v>
      </c>
      <c r="I71" s="91">
        <f t="shared" si="0"/>
        <v>700</v>
      </c>
      <c r="J71" s="91">
        <f>'прил.8'!J45</f>
        <v>0</v>
      </c>
      <c r="K71" s="91">
        <f t="shared" si="1"/>
        <v>700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16.5">
      <c r="A72" s="123" t="s">
        <v>438</v>
      </c>
      <c r="B72" s="68"/>
      <c r="C72" s="57" t="s">
        <v>24</v>
      </c>
      <c r="D72" s="57" t="s">
        <v>606</v>
      </c>
      <c r="E72" s="57" t="s">
        <v>490</v>
      </c>
      <c r="F72" s="57" t="s">
        <v>277</v>
      </c>
      <c r="G72" s="91">
        <f>'прил.8'!G911+'прил.8'!G46+'прил.8'!G204+'прил.8'!G584+'прил.8'!G613+'прил.8'!G975</f>
        <v>8903.5</v>
      </c>
      <c r="H72" s="91">
        <f>'прил.8'!H911+'прил.8'!H46+'прил.8'!H204+'прил.8'!H584+'прил.8'!H613+'прил.8'!H975+'прил.8'!H977</f>
        <v>2974.4</v>
      </c>
      <c r="I72" s="91">
        <f t="shared" si="0"/>
        <v>11877.9</v>
      </c>
      <c r="J72" s="91">
        <f>'прил.8'!J911+'прил.8'!J46+'прил.8'!J204+'прил.8'!J584+'прил.8'!J613+'прил.8'!J975+'прил.8'!J977</f>
        <v>7813.6</v>
      </c>
      <c r="K72" s="91">
        <f t="shared" si="1"/>
        <v>19691.5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16.5">
      <c r="A73" s="121" t="s">
        <v>655</v>
      </c>
      <c r="B73" s="68"/>
      <c r="C73" s="57" t="s">
        <v>24</v>
      </c>
      <c r="D73" s="57" t="s">
        <v>606</v>
      </c>
      <c r="E73" s="57" t="s">
        <v>662</v>
      </c>
      <c r="F73" s="57"/>
      <c r="G73" s="91">
        <f>G74</f>
        <v>85813</v>
      </c>
      <c r="H73" s="91">
        <f>H74</f>
        <v>-607.4</v>
      </c>
      <c r="I73" s="91">
        <f t="shared" si="0"/>
        <v>85205.6</v>
      </c>
      <c r="J73" s="91">
        <f>J74</f>
        <v>6359.3</v>
      </c>
      <c r="K73" s="91">
        <f t="shared" si="1"/>
        <v>91564.90000000001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6.5">
      <c r="A74" s="123" t="s">
        <v>63</v>
      </c>
      <c r="B74" s="68"/>
      <c r="C74" s="57" t="s">
        <v>24</v>
      </c>
      <c r="D74" s="57" t="s">
        <v>606</v>
      </c>
      <c r="E74" s="57" t="s">
        <v>662</v>
      </c>
      <c r="F74" s="57" t="s">
        <v>660</v>
      </c>
      <c r="G74" s="91">
        <f>'прил.8'!G48</f>
        <v>85813</v>
      </c>
      <c r="H74" s="91">
        <f>'прил.8'!H48</f>
        <v>-607.4</v>
      </c>
      <c r="I74" s="91">
        <f t="shared" si="0"/>
        <v>85205.6</v>
      </c>
      <c r="J74" s="91">
        <f>'прил.8'!J48</f>
        <v>6359.3</v>
      </c>
      <c r="K74" s="91">
        <f t="shared" si="1"/>
        <v>91564.90000000001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22.5" customHeight="1">
      <c r="A75" s="123" t="s">
        <v>637</v>
      </c>
      <c r="B75" s="59"/>
      <c r="C75" s="57" t="s">
        <v>24</v>
      </c>
      <c r="D75" s="57" t="s">
        <v>606</v>
      </c>
      <c r="E75" s="69" t="s">
        <v>230</v>
      </c>
      <c r="F75" s="57"/>
      <c r="G75" s="91">
        <f>G76+G78</f>
        <v>10105.5</v>
      </c>
      <c r="H75" s="91">
        <f>H76+H78</f>
        <v>17.4</v>
      </c>
      <c r="I75" s="91">
        <f t="shared" si="0"/>
        <v>10122.9</v>
      </c>
      <c r="J75" s="91">
        <f>J76+J78</f>
        <v>840.7</v>
      </c>
      <c r="K75" s="91">
        <f t="shared" si="1"/>
        <v>10963.6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8" customHeight="1">
      <c r="A76" s="121" t="s">
        <v>677</v>
      </c>
      <c r="B76" s="58"/>
      <c r="C76" s="57" t="s">
        <v>24</v>
      </c>
      <c r="D76" s="57" t="s">
        <v>606</v>
      </c>
      <c r="E76" s="69" t="s">
        <v>602</v>
      </c>
      <c r="F76" s="57"/>
      <c r="G76" s="91">
        <f>G77</f>
        <v>111.7</v>
      </c>
      <c r="H76" s="91">
        <f>H77</f>
        <v>0</v>
      </c>
      <c r="I76" s="91">
        <f t="shared" si="0"/>
        <v>111.7</v>
      </c>
      <c r="J76" s="91">
        <f>J77</f>
        <v>0</v>
      </c>
      <c r="K76" s="91">
        <f t="shared" si="1"/>
        <v>111.7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17.25" customHeight="1">
      <c r="A77" s="123" t="s">
        <v>63</v>
      </c>
      <c r="B77" s="65"/>
      <c r="C77" s="57" t="s">
        <v>24</v>
      </c>
      <c r="D77" s="57" t="s">
        <v>606</v>
      </c>
      <c r="E77" s="69" t="s">
        <v>602</v>
      </c>
      <c r="F77" s="57" t="s">
        <v>660</v>
      </c>
      <c r="G77" s="91">
        <f>'прил.8'!G51</f>
        <v>111.7</v>
      </c>
      <c r="H77" s="91">
        <f>'прил.8'!H51</f>
        <v>0</v>
      </c>
      <c r="I77" s="91">
        <f t="shared" si="0"/>
        <v>111.7</v>
      </c>
      <c r="J77" s="91">
        <f>'прил.8'!J51</f>
        <v>0</v>
      </c>
      <c r="K77" s="91">
        <f t="shared" si="1"/>
        <v>111.7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8" customHeight="1">
      <c r="A78" s="121" t="s">
        <v>655</v>
      </c>
      <c r="B78" s="58"/>
      <c r="C78" s="57" t="s">
        <v>24</v>
      </c>
      <c r="D78" s="57" t="s">
        <v>606</v>
      </c>
      <c r="E78" s="57" t="s">
        <v>231</v>
      </c>
      <c r="F78" s="57"/>
      <c r="G78" s="91">
        <f>G79</f>
        <v>9993.8</v>
      </c>
      <c r="H78" s="91">
        <f>H79</f>
        <v>17.4</v>
      </c>
      <c r="I78" s="91">
        <f t="shared" si="0"/>
        <v>10011.199999999999</v>
      </c>
      <c r="J78" s="91">
        <f>J79</f>
        <v>840.7</v>
      </c>
      <c r="K78" s="91">
        <f t="shared" si="1"/>
        <v>10851.9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17.25" customHeight="1">
      <c r="A79" s="123" t="s">
        <v>63</v>
      </c>
      <c r="B79" s="65"/>
      <c r="C79" s="57" t="s">
        <v>24</v>
      </c>
      <c r="D79" s="57" t="s">
        <v>606</v>
      </c>
      <c r="E79" s="57" t="s">
        <v>231</v>
      </c>
      <c r="F79" s="57" t="s">
        <v>660</v>
      </c>
      <c r="G79" s="91">
        <f>'прил.8'!G53+'прил.8'!G980</f>
        <v>9993.8</v>
      </c>
      <c r="H79" s="91">
        <f>'прил.8'!H53+'прил.8'!H980</f>
        <v>17.4</v>
      </c>
      <c r="I79" s="91">
        <f t="shared" si="0"/>
        <v>10011.199999999999</v>
      </c>
      <c r="J79" s="91">
        <f>'прил.8'!J53+'прил.8'!J980</f>
        <v>840.7</v>
      </c>
      <c r="K79" s="91">
        <f t="shared" si="1"/>
        <v>10851.9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18.75" customHeight="1">
      <c r="A80" s="130" t="s">
        <v>718</v>
      </c>
      <c r="B80" s="59"/>
      <c r="C80" s="57" t="s">
        <v>24</v>
      </c>
      <c r="D80" s="57" t="s">
        <v>606</v>
      </c>
      <c r="E80" s="57" t="s">
        <v>80</v>
      </c>
      <c r="F80" s="57"/>
      <c r="G80" s="91">
        <f>G83+G87+G89+G81+G85</f>
        <v>838.2</v>
      </c>
      <c r="H80" s="91">
        <f>H83+H87+H89+H81+H85</f>
        <v>0</v>
      </c>
      <c r="I80" s="91">
        <f t="shared" si="0"/>
        <v>838.2</v>
      </c>
      <c r="J80" s="91">
        <f>J83+J87+J89+J81+J85</f>
        <v>0</v>
      </c>
      <c r="K80" s="91">
        <f t="shared" si="1"/>
        <v>838.2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53.25" customHeight="1" hidden="1">
      <c r="A81" s="130" t="s">
        <v>719</v>
      </c>
      <c r="B81" s="59"/>
      <c r="C81" s="57" t="s">
        <v>24</v>
      </c>
      <c r="D81" s="57" t="s">
        <v>606</v>
      </c>
      <c r="E81" s="57" t="s">
        <v>414</v>
      </c>
      <c r="F81" s="57"/>
      <c r="G81" s="91">
        <f>G82</f>
        <v>0</v>
      </c>
      <c r="H81" s="91">
        <f>H82</f>
        <v>0</v>
      </c>
      <c r="I81" s="91">
        <f t="shared" si="0"/>
        <v>0</v>
      </c>
      <c r="J81" s="91">
        <f>J82</f>
        <v>0</v>
      </c>
      <c r="K81" s="91">
        <f t="shared" si="1"/>
        <v>0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8.75" customHeight="1" hidden="1">
      <c r="A82" s="123" t="s">
        <v>453</v>
      </c>
      <c r="B82" s="59"/>
      <c r="C82" s="57" t="s">
        <v>24</v>
      </c>
      <c r="D82" s="57" t="s">
        <v>606</v>
      </c>
      <c r="E82" s="57" t="s">
        <v>414</v>
      </c>
      <c r="F82" s="57" t="s">
        <v>275</v>
      </c>
      <c r="G82" s="91">
        <f>'прил.8'!G56</f>
        <v>0</v>
      </c>
      <c r="H82" s="91">
        <f>'прил.8'!H56</f>
        <v>0</v>
      </c>
      <c r="I82" s="91">
        <f t="shared" si="0"/>
        <v>0</v>
      </c>
      <c r="J82" s="91">
        <f>'прил.8'!J56</f>
        <v>0</v>
      </c>
      <c r="K82" s="91">
        <f t="shared" si="1"/>
        <v>0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35.25" customHeight="1">
      <c r="A83" s="120" t="s">
        <v>170</v>
      </c>
      <c r="B83" s="58"/>
      <c r="C83" s="57" t="s">
        <v>24</v>
      </c>
      <c r="D83" s="57" t="s">
        <v>606</v>
      </c>
      <c r="E83" s="57" t="s">
        <v>411</v>
      </c>
      <c r="F83" s="57"/>
      <c r="G83" s="91">
        <f>G84</f>
        <v>838.2</v>
      </c>
      <c r="H83" s="91">
        <f>H84</f>
        <v>0</v>
      </c>
      <c r="I83" s="91">
        <f aca="true" t="shared" si="11" ref="I83:I150">G83+H83</f>
        <v>838.2</v>
      </c>
      <c r="J83" s="91">
        <f>J84</f>
        <v>0</v>
      </c>
      <c r="K83" s="91">
        <f aca="true" t="shared" si="12" ref="K83:K150">I83+J83</f>
        <v>838.2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5.75" customHeight="1">
      <c r="A84" s="123" t="s">
        <v>63</v>
      </c>
      <c r="B84" s="65"/>
      <c r="C84" s="57" t="s">
        <v>24</v>
      </c>
      <c r="D84" s="57" t="s">
        <v>606</v>
      </c>
      <c r="E84" s="57" t="s">
        <v>411</v>
      </c>
      <c r="F84" s="57" t="s">
        <v>660</v>
      </c>
      <c r="G84" s="91">
        <f>'прил.8'!G58</f>
        <v>838.2</v>
      </c>
      <c r="H84" s="91">
        <f>'прил.8'!H58</f>
        <v>0</v>
      </c>
      <c r="I84" s="91">
        <f t="shared" si="11"/>
        <v>838.2</v>
      </c>
      <c r="J84" s="91">
        <f>'прил.8'!J58</f>
        <v>0</v>
      </c>
      <c r="K84" s="91">
        <f t="shared" si="12"/>
        <v>838.2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35.25" customHeight="1" hidden="1">
      <c r="A85" s="125" t="s">
        <v>405</v>
      </c>
      <c r="B85" s="65"/>
      <c r="C85" s="57" t="s">
        <v>24</v>
      </c>
      <c r="D85" s="57" t="s">
        <v>606</v>
      </c>
      <c r="E85" s="57" t="s">
        <v>412</v>
      </c>
      <c r="F85" s="57"/>
      <c r="G85" s="91">
        <f>G86</f>
        <v>0</v>
      </c>
      <c r="H85" s="91">
        <f>H86</f>
        <v>0</v>
      </c>
      <c r="I85" s="91">
        <f t="shared" si="11"/>
        <v>0</v>
      </c>
      <c r="J85" s="91">
        <f>J86</f>
        <v>0</v>
      </c>
      <c r="K85" s="91">
        <f t="shared" si="12"/>
        <v>0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5.75" customHeight="1" hidden="1">
      <c r="A86" s="125" t="s">
        <v>711</v>
      </c>
      <c r="B86" s="65"/>
      <c r="C86" s="57" t="s">
        <v>24</v>
      </c>
      <c r="D86" s="57" t="s">
        <v>606</v>
      </c>
      <c r="E86" s="57" t="s">
        <v>412</v>
      </c>
      <c r="F86" s="57" t="s">
        <v>275</v>
      </c>
      <c r="G86" s="91">
        <f>'прил.8'!G587</f>
        <v>0</v>
      </c>
      <c r="H86" s="91">
        <f>'прил.8'!H587</f>
        <v>0</v>
      </c>
      <c r="I86" s="91">
        <f t="shared" si="11"/>
        <v>0</v>
      </c>
      <c r="J86" s="91">
        <f>'прил.8'!J587</f>
        <v>0</v>
      </c>
      <c r="K86" s="91">
        <f t="shared" si="12"/>
        <v>0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35.25" customHeight="1" hidden="1">
      <c r="A87" s="123" t="s">
        <v>720</v>
      </c>
      <c r="B87" s="65"/>
      <c r="C87" s="57" t="s">
        <v>24</v>
      </c>
      <c r="D87" s="57" t="s">
        <v>606</v>
      </c>
      <c r="E87" s="57" t="s">
        <v>415</v>
      </c>
      <c r="F87" s="57"/>
      <c r="G87" s="91">
        <f>G88</f>
        <v>0</v>
      </c>
      <c r="H87" s="91">
        <f>H88</f>
        <v>0</v>
      </c>
      <c r="I87" s="91">
        <f t="shared" si="11"/>
        <v>0</v>
      </c>
      <c r="J87" s="91">
        <f>J88</f>
        <v>0</v>
      </c>
      <c r="K87" s="91">
        <f t="shared" si="12"/>
        <v>0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15.75" customHeight="1" hidden="1">
      <c r="A88" s="123" t="s">
        <v>453</v>
      </c>
      <c r="B88" s="65"/>
      <c r="C88" s="57" t="s">
        <v>24</v>
      </c>
      <c r="D88" s="57" t="s">
        <v>606</v>
      </c>
      <c r="E88" s="57" t="s">
        <v>415</v>
      </c>
      <c r="F88" s="57" t="s">
        <v>275</v>
      </c>
      <c r="G88" s="91">
        <f>'прил.8'!G60</f>
        <v>0</v>
      </c>
      <c r="H88" s="91">
        <f>'прил.8'!H60</f>
        <v>0</v>
      </c>
      <c r="I88" s="91">
        <f t="shared" si="11"/>
        <v>0</v>
      </c>
      <c r="J88" s="91">
        <f>'прил.8'!J60</f>
        <v>0</v>
      </c>
      <c r="K88" s="91">
        <f t="shared" si="12"/>
        <v>0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69.75" customHeight="1" hidden="1">
      <c r="A89" s="123" t="s">
        <v>721</v>
      </c>
      <c r="B89" s="65"/>
      <c r="C89" s="57" t="s">
        <v>24</v>
      </c>
      <c r="D89" s="57" t="s">
        <v>606</v>
      </c>
      <c r="E89" s="57" t="s">
        <v>416</v>
      </c>
      <c r="F89" s="57"/>
      <c r="G89" s="91">
        <f>G90</f>
        <v>0</v>
      </c>
      <c r="H89" s="91">
        <f>H90</f>
        <v>0</v>
      </c>
      <c r="I89" s="91">
        <f t="shared" si="11"/>
        <v>0</v>
      </c>
      <c r="J89" s="91">
        <f>J90</f>
        <v>0</v>
      </c>
      <c r="K89" s="91">
        <f t="shared" si="12"/>
        <v>0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5.75" customHeight="1" hidden="1">
      <c r="A90" s="123" t="s">
        <v>453</v>
      </c>
      <c r="B90" s="65"/>
      <c r="C90" s="57" t="s">
        <v>24</v>
      </c>
      <c r="D90" s="57" t="s">
        <v>606</v>
      </c>
      <c r="E90" s="57" t="s">
        <v>416</v>
      </c>
      <c r="F90" s="57" t="s">
        <v>275</v>
      </c>
      <c r="G90" s="91">
        <f>'прил.8'!G62</f>
        <v>0</v>
      </c>
      <c r="H90" s="91">
        <f>'прил.8'!H62</f>
        <v>0</v>
      </c>
      <c r="I90" s="91">
        <f t="shared" si="11"/>
        <v>0</v>
      </c>
      <c r="J90" s="91">
        <f>'прил.8'!J62</f>
        <v>0</v>
      </c>
      <c r="K90" s="91">
        <f t="shared" si="12"/>
        <v>0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.75" customHeight="1" hidden="1">
      <c r="A91" s="130" t="s">
        <v>367</v>
      </c>
      <c r="B91" s="65"/>
      <c r="C91" s="57" t="s">
        <v>24</v>
      </c>
      <c r="D91" s="57" t="s">
        <v>606</v>
      </c>
      <c r="E91" s="57" t="s">
        <v>471</v>
      </c>
      <c r="F91" s="57"/>
      <c r="G91" s="91">
        <f aca="true" t="shared" si="13" ref="G91:J92">G92</f>
        <v>0</v>
      </c>
      <c r="H91" s="91">
        <f t="shared" si="13"/>
        <v>0</v>
      </c>
      <c r="I91" s="91">
        <f t="shared" si="11"/>
        <v>0</v>
      </c>
      <c r="J91" s="91">
        <f t="shared" si="13"/>
        <v>0</v>
      </c>
      <c r="K91" s="91">
        <f t="shared" si="12"/>
        <v>0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38.25" customHeight="1" hidden="1">
      <c r="A92" s="121" t="s">
        <v>300</v>
      </c>
      <c r="B92" s="65"/>
      <c r="C92" s="57" t="s">
        <v>24</v>
      </c>
      <c r="D92" s="57" t="s">
        <v>606</v>
      </c>
      <c r="E92" s="57" t="s">
        <v>288</v>
      </c>
      <c r="F92" s="57"/>
      <c r="G92" s="91">
        <f t="shared" si="13"/>
        <v>0</v>
      </c>
      <c r="H92" s="91">
        <f t="shared" si="13"/>
        <v>0</v>
      </c>
      <c r="I92" s="91">
        <f t="shared" si="11"/>
        <v>0</v>
      </c>
      <c r="J92" s="91">
        <f t="shared" si="13"/>
        <v>0</v>
      </c>
      <c r="K92" s="91">
        <f t="shared" si="12"/>
        <v>0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5.75" customHeight="1" hidden="1">
      <c r="A93" s="130" t="s">
        <v>69</v>
      </c>
      <c r="B93" s="65"/>
      <c r="C93" s="57" t="s">
        <v>24</v>
      </c>
      <c r="D93" s="57" t="s">
        <v>606</v>
      </c>
      <c r="E93" s="57" t="s">
        <v>288</v>
      </c>
      <c r="F93" s="57" t="s">
        <v>121</v>
      </c>
      <c r="G93" s="91">
        <f>'прил.8'!G983</f>
        <v>0</v>
      </c>
      <c r="H93" s="91">
        <f>'прил.8'!H983</f>
        <v>0</v>
      </c>
      <c r="I93" s="91">
        <f t="shared" si="11"/>
        <v>0</v>
      </c>
      <c r="J93" s="91">
        <f>'прил.8'!J983</f>
        <v>0</v>
      </c>
      <c r="K93" s="91">
        <f t="shared" si="12"/>
        <v>0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15.75" customHeight="1">
      <c r="A94" s="121" t="s">
        <v>441</v>
      </c>
      <c r="B94" s="58"/>
      <c r="C94" s="57" t="s">
        <v>24</v>
      </c>
      <c r="D94" s="57" t="s">
        <v>606</v>
      </c>
      <c r="E94" s="57" t="s">
        <v>433</v>
      </c>
      <c r="F94" s="57"/>
      <c r="G94" s="91">
        <f>G95</f>
        <v>2102.5</v>
      </c>
      <c r="H94" s="91">
        <f>H95</f>
        <v>0</v>
      </c>
      <c r="I94" s="91">
        <f t="shared" si="11"/>
        <v>2102.5</v>
      </c>
      <c r="J94" s="91">
        <f>J95</f>
        <v>217.79999999999998</v>
      </c>
      <c r="K94" s="91">
        <f t="shared" si="12"/>
        <v>2320.3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6.5">
      <c r="A95" s="121" t="s">
        <v>470</v>
      </c>
      <c r="B95" s="58"/>
      <c r="C95" s="57" t="s">
        <v>24</v>
      </c>
      <c r="D95" s="57" t="s">
        <v>606</v>
      </c>
      <c r="E95" s="57" t="s">
        <v>434</v>
      </c>
      <c r="F95" s="57"/>
      <c r="G95" s="91">
        <f>G96+G98</f>
        <v>2102.5</v>
      </c>
      <c r="H95" s="91">
        <f>H96+H98</f>
        <v>0</v>
      </c>
      <c r="I95" s="91">
        <f t="shared" si="11"/>
        <v>2102.5</v>
      </c>
      <c r="J95" s="91">
        <f>J96+J98</f>
        <v>217.79999999999998</v>
      </c>
      <c r="K95" s="91">
        <f t="shared" si="12"/>
        <v>2320.3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7.25" customHeight="1">
      <c r="A96" s="121" t="s">
        <v>279</v>
      </c>
      <c r="B96" s="58"/>
      <c r="C96" s="57" t="s">
        <v>24</v>
      </c>
      <c r="D96" s="57" t="s">
        <v>606</v>
      </c>
      <c r="E96" s="57" t="s">
        <v>446</v>
      </c>
      <c r="F96" s="57"/>
      <c r="G96" s="91">
        <f>G97</f>
        <v>1934.5</v>
      </c>
      <c r="H96" s="91">
        <f>H97</f>
        <v>0</v>
      </c>
      <c r="I96" s="91">
        <f t="shared" si="11"/>
        <v>1934.5</v>
      </c>
      <c r="J96" s="91">
        <f>J97</f>
        <v>217.79999999999998</v>
      </c>
      <c r="K96" s="91">
        <f t="shared" si="12"/>
        <v>2152.3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16.5">
      <c r="A97" s="123" t="s">
        <v>438</v>
      </c>
      <c r="B97" s="59"/>
      <c r="C97" s="57" t="s">
        <v>24</v>
      </c>
      <c r="D97" s="57" t="s">
        <v>606</v>
      </c>
      <c r="E97" s="57" t="s">
        <v>446</v>
      </c>
      <c r="F97" s="57" t="s">
        <v>277</v>
      </c>
      <c r="G97" s="91">
        <f>'прил.8'!G66</f>
        <v>1934.5</v>
      </c>
      <c r="H97" s="91">
        <f>'прил.8'!H66</f>
        <v>0</v>
      </c>
      <c r="I97" s="91">
        <f t="shared" si="11"/>
        <v>1934.5</v>
      </c>
      <c r="J97" s="91">
        <f>'прил.8'!J66</f>
        <v>217.79999999999998</v>
      </c>
      <c r="K97" s="91">
        <f t="shared" si="12"/>
        <v>2152.3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37.5" customHeight="1">
      <c r="A98" s="130" t="s">
        <v>451</v>
      </c>
      <c r="B98" s="59"/>
      <c r="C98" s="57" t="s">
        <v>24</v>
      </c>
      <c r="D98" s="57" t="s">
        <v>606</v>
      </c>
      <c r="E98" s="57" t="s">
        <v>449</v>
      </c>
      <c r="F98" s="57"/>
      <c r="G98" s="91">
        <f>G99</f>
        <v>168</v>
      </c>
      <c r="H98" s="91">
        <f>H99</f>
        <v>0</v>
      </c>
      <c r="I98" s="91">
        <f t="shared" si="11"/>
        <v>168</v>
      </c>
      <c r="J98" s="91">
        <f>J99</f>
        <v>0</v>
      </c>
      <c r="K98" s="91">
        <f t="shared" si="12"/>
        <v>168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18" customHeight="1">
      <c r="A99" s="130" t="s">
        <v>438</v>
      </c>
      <c r="B99" s="59"/>
      <c r="C99" s="57" t="s">
        <v>24</v>
      </c>
      <c r="D99" s="57" t="s">
        <v>606</v>
      </c>
      <c r="E99" s="57" t="s">
        <v>449</v>
      </c>
      <c r="F99" s="57" t="s">
        <v>277</v>
      </c>
      <c r="G99" s="91">
        <f>'прил.8'!G68</f>
        <v>168</v>
      </c>
      <c r="H99" s="91">
        <f>'прил.8'!H68</f>
        <v>0</v>
      </c>
      <c r="I99" s="91">
        <f t="shared" si="11"/>
        <v>168</v>
      </c>
      <c r="J99" s="91">
        <f>'прил.8'!J68</f>
        <v>0</v>
      </c>
      <c r="K99" s="91">
        <f t="shared" si="12"/>
        <v>168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36" customHeight="1">
      <c r="A100" s="121" t="s">
        <v>274</v>
      </c>
      <c r="B100" s="58"/>
      <c r="C100" s="57" t="s">
        <v>26</v>
      </c>
      <c r="D100" s="57"/>
      <c r="E100" s="57"/>
      <c r="F100" s="57"/>
      <c r="G100" s="91">
        <f>G101+G113+G123</f>
        <v>61553.2</v>
      </c>
      <c r="H100" s="91">
        <f>H101+H113+H123</f>
        <v>44.2</v>
      </c>
      <c r="I100" s="91">
        <f t="shared" si="11"/>
        <v>61597.399999999994</v>
      </c>
      <c r="J100" s="91">
        <f>J101+J113+J123</f>
        <v>3373.8999999999996</v>
      </c>
      <c r="K100" s="91">
        <f t="shared" si="12"/>
        <v>64971.299999999996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6.5">
      <c r="A101" s="121" t="s">
        <v>722</v>
      </c>
      <c r="B101" s="58"/>
      <c r="C101" s="57" t="s">
        <v>26</v>
      </c>
      <c r="D101" s="57" t="s">
        <v>25</v>
      </c>
      <c r="E101" s="57"/>
      <c r="F101" s="57"/>
      <c r="G101" s="91">
        <f>G102</f>
        <v>23212.2</v>
      </c>
      <c r="H101" s="91">
        <f>H102</f>
        <v>0</v>
      </c>
      <c r="I101" s="91">
        <f t="shared" si="11"/>
        <v>23212.2</v>
      </c>
      <c r="J101" s="91">
        <f>J102</f>
        <v>-489.50000000000045</v>
      </c>
      <c r="K101" s="91">
        <f t="shared" si="12"/>
        <v>22722.7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ht="16.5">
      <c r="A102" s="123" t="s">
        <v>513</v>
      </c>
      <c r="B102" s="59"/>
      <c r="C102" s="57" t="s">
        <v>26</v>
      </c>
      <c r="D102" s="57" t="s">
        <v>25</v>
      </c>
      <c r="E102" s="57" t="s">
        <v>272</v>
      </c>
      <c r="F102" s="57"/>
      <c r="G102" s="91">
        <f>G103+G105+G107+G109+G111</f>
        <v>23212.2</v>
      </c>
      <c r="H102" s="91">
        <f>H103+H105+H107+H109+H111</f>
        <v>0</v>
      </c>
      <c r="I102" s="91">
        <f t="shared" si="11"/>
        <v>23212.2</v>
      </c>
      <c r="J102" s="91">
        <f>J103+J105+J107+J109+J111</f>
        <v>-489.50000000000045</v>
      </c>
      <c r="K102" s="91">
        <f t="shared" si="12"/>
        <v>22722.7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51" customHeight="1" hidden="1">
      <c r="A103" s="131" t="s">
        <v>239</v>
      </c>
      <c r="B103" s="61"/>
      <c r="C103" s="57" t="s">
        <v>26</v>
      </c>
      <c r="D103" s="57" t="s">
        <v>25</v>
      </c>
      <c r="E103" s="57" t="s">
        <v>273</v>
      </c>
      <c r="F103" s="57"/>
      <c r="G103" s="91">
        <f>G104</f>
        <v>0</v>
      </c>
      <c r="H103" s="91">
        <f>H104</f>
        <v>0</v>
      </c>
      <c r="I103" s="91">
        <f t="shared" si="11"/>
        <v>0</v>
      </c>
      <c r="J103" s="91">
        <f>J104</f>
        <v>0</v>
      </c>
      <c r="K103" s="91">
        <f t="shared" si="12"/>
        <v>0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33.75" customHeight="1" hidden="1">
      <c r="A104" s="131" t="s">
        <v>47</v>
      </c>
      <c r="B104" s="61"/>
      <c r="C104" s="57" t="s">
        <v>26</v>
      </c>
      <c r="D104" s="57" t="s">
        <v>25</v>
      </c>
      <c r="E104" s="57" t="s">
        <v>273</v>
      </c>
      <c r="F104" s="57" t="s">
        <v>623</v>
      </c>
      <c r="G104" s="91">
        <f>'прил.8'!G1175</f>
        <v>0</v>
      </c>
      <c r="H104" s="91">
        <f>'прил.8'!H1175</f>
        <v>0</v>
      </c>
      <c r="I104" s="91">
        <f t="shared" si="11"/>
        <v>0</v>
      </c>
      <c r="J104" s="91">
        <f>'прил.8'!J1175</f>
        <v>0</v>
      </c>
      <c r="K104" s="91">
        <f t="shared" si="12"/>
        <v>0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16.5">
      <c r="A105" s="131" t="s">
        <v>48</v>
      </c>
      <c r="B105" s="61"/>
      <c r="C105" s="57" t="s">
        <v>26</v>
      </c>
      <c r="D105" s="57" t="s">
        <v>25</v>
      </c>
      <c r="E105" s="57" t="s">
        <v>627</v>
      </c>
      <c r="F105" s="57"/>
      <c r="G105" s="91">
        <f>G106</f>
        <v>11919.2</v>
      </c>
      <c r="H105" s="91">
        <f>H106</f>
        <v>0</v>
      </c>
      <c r="I105" s="91">
        <f t="shared" si="11"/>
        <v>11919.2</v>
      </c>
      <c r="J105" s="91">
        <f>J106</f>
        <v>-2742.2000000000003</v>
      </c>
      <c r="K105" s="91">
        <f t="shared" si="12"/>
        <v>9177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33.75" customHeight="1">
      <c r="A106" s="131" t="s">
        <v>47</v>
      </c>
      <c r="B106" s="61"/>
      <c r="C106" s="57" t="s">
        <v>26</v>
      </c>
      <c r="D106" s="57" t="s">
        <v>25</v>
      </c>
      <c r="E106" s="57" t="s">
        <v>627</v>
      </c>
      <c r="F106" s="57" t="s">
        <v>623</v>
      </c>
      <c r="G106" s="91">
        <f>'прил.8'!G1177</f>
        <v>11919.2</v>
      </c>
      <c r="H106" s="91">
        <f>'прил.8'!H1177</f>
        <v>0</v>
      </c>
      <c r="I106" s="91">
        <f t="shared" si="11"/>
        <v>11919.2</v>
      </c>
      <c r="J106" s="91">
        <f>'прил.8'!J1177</f>
        <v>-2742.2000000000003</v>
      </c>
      <c r="K106" s="91">
        <f t="shared" si="12"/>
        <v>9177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33.75" customHeight="1">
      <c r="A107" s="121" t="s">
        <v>100</v>
      </c>
      <c r="B107" s="58"/>
      <c r="C107" s="57" t="s">
        <v>26</v>
      </c>
      <c r="D107" s="57" t="s">
        <v>25</v>
      </c>
      <c r="E107" s="57" t="s">
        <v>628</v>
      </c>
      <c r="F107" s="57"/>
      <c r="G107" s="91">
        <f>G108</f>
        <v>10537</v>
      </c>
      <c r="H107" s="91">
        <f>H108</f>
        <v>0</v>
      </c>
      <c r="I107" s="91">
        <f t="shared" si="11"/>
        <v>10537</v>
      </c>
      <c r="J107" s="91">
        <f>J108</f>
        <v>2252.7</v>
      </c>
      <c r="K107" s="91">
        <f t="shared" si="12"/>
        <v>12789.7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35.25" customHeight="1">
      <c r="A108" s="131" t="s">
        <v>47</v>
      </c>
      <c r="B108" s="61"/>
      <c r="C108" s="57" t="s">
        <v>26</v>
      </c>
      <c r="D108" s="57" t="s">
        <v>25</v>
      </c>
      <c r="E108" s="57" t="s">
        <v>628</v>
      </c>
      <c r="F108" s="57" t="s">
        <v>623</v>
      </c>
      <c r="G108" s="91">
        <f>'прил.8'!G1179</f>
        <v>10537</v>
      </c>
      <c r="H108" s="91">
        <f>'прил.8'!H1179</f>
        <v>0</v>
      </c>
      <c r="I108" s="91">
        <f t="shared" si="11"/>
        <v>10537</v>
      </c>
      <c r="J108" s="91">
        <f>'прил.8'!J1179</f>
        <v>2252.7</v>
      </c>
      <c r="K108" s="91">
        <f t="shared" si="12"/>
        <v>12789.7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16.5">
      <c r="A109" s="127" t="s">
        <v>723</v>
      </c>
      <c r="B109" s="60"/>
      <c r="C109" s="57" t="s">
        <v>26</v>
      </c>
      <c r="D109" s="57" t="s">
        <v>25</v>
      </c>
      <c r="E109" s="57" t="s">
        <v>629</v>
      </c>
      <c r="F109" s="57"/>
      <c r="G109" s="91">
        <f>G110</f>
        <v>97.1</v>
      </c>
      <c r="H109" s="91">
        <f>H110</f>
        <v>0</v>
      </c>
      <c r="I109" s="91">
        <f t="shared" si="11"/>
        <v>97.1</v>
      </c>
      <c r="J109" s="91">
        <f>J110</f>
        <v>0</v>
      </c>
      <c r="K109" s="91">
        <f t="shared" si="12"/>
        <v>97.1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ht="36" customHeight="1">
      <c r="A110" s="131" t="s">
        <v>47</v>
      </c>
      <c r="B110" s="61"/>
      <c r="C110" s="57" t="s">
        <v>26</v>
      </c>
      <c r="D110" s="57" t="s">
        <v>25</v>
      </c>
      <c r="E110" s="57" t="s">
        <v>629</v>
      </c>
      <c r="F110" s="57" t="s">
        <v>623</v>
      </c>
      <c r="G110" s="91">
        <f>'прил.8'!G1181</f>
        <v>97.1</v>
      </c>
      <c r="H110" s="91">
        <f>'прил.8'!H1181</f>
        <v>0</v>
      </c>
      <c r="I110" s="91">
        <f t="shared" si="11"/>
        <v>97.1</v>
      </c>
      <c r="J110" s="91">
        <f>'прил.8'!J1181</f>
        <v>0</v>
      </c>
      <c r="K110" s="91">
        <f t="shared" si="12"/>
        <v>97.1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38.25" customHeight="1">
      <c r="A111" s="121" t="s">
        <v>724</v>
      </c>
      <c r="B111" s="58"/>
      <c r="C111" s="57" t="s">
        <v>26</v>
      </c>
      <c r="D111" s="57" t="s">
        <v>25</v>
      </c>
      <c r="E111" s="57" t="s">
        <v>630</v>
      </c>
      <c r="F111" s="57"/>
      <c r="G111" s="91">
        <f>G112</f>
        <v>658.9</v>
      </c>
      <c r="H111" s="91">
        <f>H112</f>
        <v>0</v>
      </c>
      <c r="I111" s="91">
        <f t="shared" si="11"/>
        <v>658.9</v>
      </c>
      <c r="J111" s="91">
        <f>J112</f>
        <v>0</v>
      </c>
      <c r="K111" s="91">
        <f t="shared" si="12"/>
        <v>658.9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18" customHeight="1">
      <c r="A112" s="121" t="s">
        <v>656</v>
      </c>
      <c r="B112" s="58"/>
      <c r="C112" s="57" t="s">
        <v>26</v>
      </c>
      <c r="D112" s="57" t="s">
        <v>25</v>
      </c>
      <c r="E112" s="57" t="s">
        <v>630</v>
      </c>
      <c r="F112" s="57" t="s">
        <v>117</v>
      </c>
      <c r="G112" s="91">
        <f>'прил.8'!G1183</f>
        <v>658.9</v>
      </c>
      <c r="H112" s="91">
        <f>'прил.8'!H1183</f>
        <v>0</v>
      </c>
      <c r="I112" s="91">
        <f t="shared" si="11"/>
        <v>658.9</v>
      </c>
      <c r="J112" s="91">
        <f>'прил.8'!J1183</f>
        <v>0</v>
      </c>
      <c r="K112" s="91">
        <f t="shared" si="12"/>
        <v>658.9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ht="33.75" customHeight="1">
      <c r="A113" s="121" t="s">
        <v>725</v>
      </c>
      <c r="B113" s="58"/>
      <c r="C113" s="57" t="s">
        <v>26</v>
      </c>
      <c r="D113" s="57" t="s">
        <v>106</v>
      </c>
      <c r="E113" s="57"/>
      <c r="F113" s="57"/>
      <c r="G113" s="91">
        <f>G114+G119</f>
        <v>38341</v>
      </c>
      <c r="H113" s="91">
        <f>H114+H119</f>
        <v>44.2</v>
      </c>
      <c r="I113" s="91">
        <f t="shared" si="11"/>
        <v>38385.2</v>
      </c>
      <c r="J113" s="91">
        <f>J114+J119</f>
        <v>3863.4</v>
      </c>
      <c r="K113" s="91">
        <f t="shared" si="12"/>
        <v>42248.6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16.5">
      <c r="A114" s="121" t="s">
        <v>726</v>
      </c>
      <c r="B114" s="58"/>
      <c r="C114" s="57" t="s">
        <v>26</v>
      </c>
      <c r="D114" s="57" t="s">
        <v>106</v>
      </c>
      <c r="E114" s="57" t="s">
        <v>478</v>
      </c>
      <c r="F114" s="57"/>
      <c r="G114" s="91">
        <f>G115+G117</f>
        <v>38062.6</v>
      </c>
      <c r="H114" s="91">
        <f>H115+H117</f>
        <v>44.2</v>
      </c>
      <c r="I114" s="91">
        <f t="shared" si="11"/>
        <v>38106.799999999996</v>
      </c>
      <c r="J114" s="91">
        <f>J115+J117</f>
        <v>3863.4</v>
      </c>
      <c r="K114" s="91">
        <f t="shared" si="12"/>
        <v>41970.2</v>
      </c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16.5">
      <c r="A115" s="121" t="s">
        <v>677</v>
      </c>
      <c r="B115" s="58"/>
      <c r="C115" s="57" t="s">
        <v>26</v>
      </c>
      <c r="D115" s="57" t="s">
        <v>106</v>
      </c>
      <c r="E115" s="57" t="s">
        <v>592</v>
      </c>
      <c r="F115" s="57"/>
      <c r="G115" s="91">
        <f>G116</f>
        <v>370.9</v>
      </c>
      <c r="H115" s="91">
        <f>H116</f>
        <v>0</v>
      </c>
      <c r="I115" s="91">
        <f t="shared" si="11"/>
        <v>370.9</v>
      </c>
      <c r="J115" s="91">
        <f>J116</f>
        <v>0</v>
      </c>
      <c r="K115" s="91">
        <f t="shared" si="12"/>
        <v>370.9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16.5">
      <c r="A116" s="123" t="s">
        <v>63</v>
      </c>
      <c r="B116" s="65"/>
      <c r="C116" s="57" t="s">
        <v>26</v>
      </c>
      <c r="D116" s="57" t="s">
        <v>106</v>
      </c>
      <c r="E116" s="57" t="s">
        <v>592</v>
      </c>
      <c r="F116" s="57" t="s">
        <v>660</v>
      </c>
      <c r="G116" s="91">
        <f>'прил.8'!G73</f>
        <v>370.9</v>
      </c>
      <c r="H116" s="91">
        <f>'прил.8'!H73</f>
        <v>0</v>
      </c>
      <c r="I116" s="91">
        <f t="shared" si="11"/>
        <v>370.9</v>
      </c>
      <c r="J116" s="91">
        <f>'прил.8'!J73</f>
        <v>0</v>
      </c>
      <c r="K116" s="91">
        <f t="shared" si="12"/>
        <v>370.9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ht="16.5">
      <c r="A117" s="121" t="s">
        <v>655</v>
      </c>
      <c r="B117" s="58"/>
      <c r="C117" s="57" t="s">
        <v>26</v>
      </c>
      <c r="D117" s="57" t="s">
        <v>106</v>
      </c>
      <c r="E117" s="57" t="s">
        <v>477</v>
      </c>
      <c r="F117" s="57"/>
      <c r="G117" s="91">
        <f>G118</f>
        <v>37691.7</v>
      </c>
      <c r="H117" s="91">
        <f>H118</f>
        <v>44.2</v>
      </c>
      <c r="I117" s="91">
        <f t="shared" si="11"/>
        <v>37735.899999999994</v>
      </c>
      <c r="J117" s="91">
        <f>J118</f>
        <v>3863.4</v>
      </c>
      <c r="K117" s="91">
        <f t="shared" si="12"/>
        <v>41599.299999999996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16.5">
      <c r="A118" s="123" t="s">
        <v>63</v>
      </c>
      <c r="B118" s="65"/>
      <c r="C118" s="57" t="s">
        <v>26</v>
      </c>
      <c r="D118" s="57" t="s">
        <v>106</v>
      </c>
      <c r="E118" s="57" t="s">
        <v>477</v>
      </c>
      <c r="F118" s="57" t="s">
        <v>660</v>
      </c>
      <c r="G118" s="91">
        <f>'прил.8'!G75+'прил.8'!G988</f>
        <v>37691.7</v>
      </c>
      <c r="H118" s="91">
        <f>'прил.8'!H75+'прил.8'!H988</f>
        <v>44.2</v>
      </c>
      <c r="I118" s="91">
        <f t="shared" si="11"/>
        <v>37735.899999999994</v>
      </c>
      <c r="J118" s="91">
        <f>'прил.8'!J75+'прил.8'!J988</f>
        <v>3863.4</v>
      </c>
      <c r="K118" s="91">
        <f t="shared" si="12"/>
        <v>41599.299999999996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9.5" customHeight="1">
      <c r="A119" s="121" t="s">
        <v>441</v>
      </c>
      <c r="B119" s="58"/>
      <c r="C119" s="57" t="s">
        <v>26</v>
      </c>
      <c r="D119" s="57" t="s">
        <v>106</v>
      </c>
      <c r="E119" s="62" t="s">
        <v>433</v>
      </c>
      <c r="F119" s="57"/>
      <c r="G119" s="91">
        <f>G121</f>
        <v>278.4</v>
      </c>
      <c r="H119" s="91">
        <f>H121</f>
        <v>0</v>
      </c>
      <c r="I119" s="91">
        <f t="shared" si="11"/>
        <v>278.4</v>
      </c>
      <c r="J119" s="91">
        <f>J121</f>
        <v>0</v>
      </c>
      <c r="K119" s="91">
        <f t="shared" si="12"/>
        <v>278.4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9.5" customHeight="1">
      <c r="A120" s="121" t="s">
        <v>470</v>
      </c>
      <c r="B120" s="58"/>
      <c r="C120" s="57" t="s">
        <v>26</v>
      </c>
      <c r="D120" s="57" t="s">
        <v>106</v>
      </c>
      <c r="E120" s="57" t="s">
        <v>434</v>
      </c>
      <c r="F120" s="57"/>
      <c r="G120" s="91">
        <f aca="true" t="shared" si="14" ref="G120:J121">G121</f>
        <v>278.4</v>
      </c>
      <c r="H120" s="91">
        <f t="shared" si="14"/>
        <v>0</v>
      </c>
      <c r="I120" s="91">
        <f t="shared" si="11"/>
        <v>278.4</v>
      </c>
      <c r="J120" s="91">
        <f t="shared" si="14"/>
        <v>0</v>
      </c>
      <c r="K120" s="91">
        <f t="shared" si="12"/>
        <v>278.4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9.5" customHeight="1">
      <c r="A121" s="121" t="s">
        <v>679</v>
      </c>
      <c r="B121" s="58"/>
      <c r="C121" s="57" t="s">
        <v>26</v>
      </c>
      <c r="D121" s="57" t="s">
        <v>106</v>
      </c>
      <c r="E121" s="57" t="s">
        <v>446</v>
      </c>
      <c r="F121" s="57"/>
      <c r="G121" s="91">
        <f t="shared" si="14"/>
        <v>278.4</v>
      </c>
      <c r="H121" s="91">
        <f t="shared" si="14"/>
        <v>0</v>
      </c>
      <c r="I121" s="91">
        <f t="shared" si="11"/>
        <v>278.4</v>
      </c>
      <c r="J121" s="91">
        <f t="shared" si="14"/>
        <v>0</v>
      </c>
      <c r="K121" s="91">
        <f t="shared" si="12"/>
        <v>278.4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8" customHeight="1">
      <c r="A122" s="123" t="s">
        <v>438</v>
      </c>
      <c r="B122" s="59"/>
      <c r="C122" s="57" t="s">
        <v>26</v>
      </c>
      <c r="D122" s="57" t="s">
        <v>106</v>
      </c>
      <c r="E122" s="57" t="s">
        <v>446</v>
      </c>
      <c r="F122" s="57" t="s">
        <v>277</v>
      </c>
      <c r="G122" s="91">
        <f>'прил.8'!G79</f>
        <v>278.4</v>
      </c>
      <c r="H122" s="91">
        <f>'прил.8'!H79</f>
        <v>0</v>
      </c>
      <c r="I122" s="91">
        <f t="shared" si="11"/>
        <v>278.4</v>
      </c>
      <c r="J122" s="91">
        <f>'прил.8'!J79</f>
        <v>0</v>
      </c>
      <c r="K122" s="91">
        <f t="shared" si="12"/>
        <v>278.4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36.75" customHeight="1" hidden="1">
      <c r="A123" s="127" t="s">
        <v>305</v>
      </c>
      <c r="B123" s="60"/>
      <c r="C123" s="57" t="s">
        <v>26</v>
      </c>
      <c r="D123" s="57" t="s">
        <v>659</v>
      </c>
      <c r="E123" s="57"/>
      <c r="F123" s="57"/>
      <c r="G123" s="91">
        <f aca="true" t="shared" si="15" ref="G123:J124">G124</f>
        <v>0</v>
      </c>
      <c r="H123" s="91">
        <f t="shared" si="15"/>
        <v>0</v>
      </c>
      <c r="I123" s="91">
        <f t="shared" si="11"/>
        <v>0</v>
      </c>
      <c r="J123" s="91">
        <f t="shared" si="15"/>
        <v>0</v>
      </c>
      <c r="K123" s="91">
        <f t="shared" si="12"/>
        <v>0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33" hidden="1">
      <c r="A124" s="127" t="s">
        <v>674</v>
      </c>
      <c r="B124" s="71"/>
      <c r="C124" s="57" t="s">
        <v>26</v>
      </c>
      <c r="D124" s="57" t="s">
        <v>659</v>
      </c>
      <c r="E124" s="57" t="s">
        <v>431</v>
      </c>
      <c r="F124" s="57"/>
      <c r="G124" s="91">
        <f t="shared" si="15"/>
        <v>0</v>
      </c>
      <c r="H124" s="91">
        <f t="shared" si="15"/>
        <v>0</v>
      </c>
      <c r="I124" s="91">
        <f t="shared" si="11"/>
        <v>0</v>
      </c>
      <c r="J124" s="91">
        <f t="shared" si="15"/>
        <v>0</v>
      </c>
      <c r="K124" s="91">
        <f t="shared" si="12"/>
        <v>0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16.5" hidden="1">
      <c r="A125" s="123" t="s">
        <v>438</v>
      </c>
      <c r="B125" s="59"/>
      <c r="C125" s="57" t="s">
        <v>26</v>
      </c>
      <c r="D125" s="57" t="s">
        <v>659</v>
      </c>
      <c r="E125" s="57" t="s">
        <v>431</v>
      </c>
      <c r="F125" s="57" t="s">
        <v>277</v>
      </c>
      <c r="G125" s="91">
        <f>'прил.8'!G82</f>
        <v>0</v>
      </c>
      <c r="H125" s="91">
        <f>'прил.8'!H82</f>
        <v>0</v>
      </c>
      <c r="I125" s="91">
        <f t="shared" si="11"/>
        <v>0</v>
      </c>
      <c r="J125" s="91">
        <f>'прил.8'!J82</f>
        <v>0</v>
      </c>
      <c r="K125" s="91">
        <f t="shared" si="12"/>
        <v>0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16.5">
      <c r="A126" s="121" t="s">
        <v>107</v>
      </c>
      <c r="B126" s="58"/>
      <c r="C126" s="57" t="s">
        <v>27</v>
      </c>
      <c r="D126" s="57"/>
      <c r="E126" s="57"/>
      <c r="F126" s="57"/>
      <c r="G126" s="91">
        <f>G127+G140+G144</f>
        <v>148011.90000000002</v>
      </c>
      <c r="H126" s="91">
        <f>H127+H140+H144</f>
        <v>-2237</v>
      </c>
      <c r="I126" s="91">
        <f t="shared" si="11"/>
        <v>145774.90000000002</v>
      </c>
      <c r="J126" s="91">
        <f>J127+J140+J144+J136</f>
        <v>65277.8</v>
      </c>
      <c r="K126" s="91">
        <f t="shared" si="12"/>
        <v>211052.7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ht="17.25" customHeight="1">
      <c r="A127" s="130" t="s">
        <v>727</v>
      </c>
      <c r="B127" s="58"/>
      <c r="C127" s="57" t="s">
        <v>27</v>
      </c>
      <c r="D127" s="57" t="s">
        <v>24</v>
      </c>
      <c r="E127" s="72"/>
      <c r="F127" s="57"/>
      <c r="G127" s="91">
        <f>G128+G133</f>
        <v>1418.3</v>
      </c>
      <c r="H127" s="91">
        <f>H128+H133</f>
        <v>1908.8</v>
      </c>
      <c r="I127" s="91">
        <f t="shared" si="11"/>
        <v>3327.1</v>
      </c>
      <c r="J127" s="91">
        <f>J128+J133</f>
        <v>4847.8</v>
      </c>
      <c r="K127" s="91">
        <f t="shared" si="12"/>
        <v>8174.9</v>
      </c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ht="17.25" customHeight="1">
      <c r="A128" s="130" t="s">
        <v>857</v>
      </c>
      <c r="B128" s="58"/>
      <c r="C128" s="57" t="s">
        <v>27</v>
      </c>
      <c r="D128" s="57" t="s">
        <v>24</v>
      </c>
      <c r="E128" s="72" t="s">
        <v>856</v>
      </c>
      <c r="F128" s="57"/>
      <c r="G128" s="91">
        <f>G129+G131</f>
        <v>1418.3</v>
      </c>
      <c r="H128" s="91">
        <f>H129+H131</f>
        <v>1908.8</v>
      </c>
      <c r="I128" s="91">
        <f t="shared" si="11"/>
        <v>3327.1</v>
      </c>
      <c r="J128" s="91">
        <f>J129+J131</f>
        <v>4595.2</v>
      </c>
      <c r="K128" s="91">
        <f t="shared" si="12"/>
        <v>7922.299999999999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33" customHeight="1">
      <c r="A129" s="130" t="s">
        <v>841</v>
      </c>
      <c r="B129" s="58"/>
      <c r="C129" s="57" t="s">
        <v>27</v>
      </c>
      <c r="D129" s="57" t="s">
        <v>24</v>
      </c>
      <c r="E129" s="72" t="s">
        <v>858</v>
      </c>
      <c r="F129" s="57"/>
      <c r="G129" s="91">
        <f>G130</f>
        <v>1418.3</v>
      </c>
      <c r="H129" s="91">
        <f>H130</f>
        <v>1908.8</v>
      </c>
      <c r="I129" s="91">
        <f t="shared" si="11"/>
        <v>3327.1</v>
      </c>
      <c r="J129" s="91">
        <f>J130</f>
        <v>-219.6</v>
      </c>
      <c r="K129" s="91">
        <f t="shared" si="12"/>
        <v>3107.5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17.25" customHeight="1">
      <c r="A130" s="123" t="s">
        <v>63</v>
      </c>
      <c r="B130" s="58"/>
      <c r="C130" s="57" t="s">
        <v>27</v>
      </c>
      <c r="D130" s="57" t="s">
        <v>24</v>
      </c>
      <c r="E130" s="72" t="s">
        <v>858</v>
      </c>
      <c r="F130" s="57" t="s">
        <v>660</v>
      </c>
      <c r="G130" s="91">
        <f>'прил.8'!G87+'прил.8'!G298+'прил.8'!G321+'прил.8'!G468+'прил.8'!G592+'прил.8'!G618+'прил.8'!G717+'прил.8'!G797</f>
        <v>1418.3</v>
      </c>
      <c r="H130" s="91">
        <f>'прил.8'!H87+'прил.8'!H298+'прил.8'!H321+'прил.8'!H468+'прил.8'!H592+'прил.8'!H618+'прил.8'!H717+'прил.8'!H797</f>
        <v>1908.8</v>
      </c>
      <c r="I130" s="91">
        <f t="shared" si="11"/>
        <v>3327.1</v>
      </c>
      <c r="J130" s="91">
        <f>'прил.8'!J87+'прил.8'!J298+'прил.8'!J321+'прил.8'!J468+'прил.8'!J592+'прил.8'!J618+'прил.8'!J717+'прил.8'!J797</f>
        <v>-219.6</v>
      </c>
      <c r="K130" s="91">
        <f t="shared" si="12"/>
        <v>3107.5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32.25" customHeight="1">
      <c r="A131" s="124" t="s">
        <v>58</v>
      </c>
      <c r="B131" s="58"/>
      <c r="C131" s="57" t="s">
        <v>27</v>
      </c>
      <c r="D131" s="57" t="s">
        <v>24</v>
      </c>
      <c r="E131" s="57" t="s">
        <v>680</v>
      </c>
      <c r="F131" s="57"/>
      <c r="G131" s="91">
        <f>G132</f>
        <v>0</v>
      </c>
      <c r="H131" s="91">
        <f>H132</f>
        <v>0</v>
      </c>
      <c r="I131" s="91">
        <f t="shared" si="11"/>
        <v>0</v>
      </c>
      <c r="J131" s="91">
        <f>J132</f>
        <v>4814.8</v>
      </c>
      <c r="K131" s="91">
        <f t="shared" si="12"/>
        <v>4814.8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17.25" customHeight="1">
      <c r="A132" s="123" t="s">
        <v>63</v>
      </c>
      <c r="B132" s="58"/>
      <c r="C132" s="57" t="s">
        <v>27</v>
      </c>
      <c r="D132" s="57" t="s">
        <v>24</v>
      </c>
      <c r="E132" s="57" t="s">
        <v>680</v>
      </c>
      <c r="F132" s="57" t="s">
        <v>660</v>
      </c>
      <c r="G132" s="91">
        <f>'прил.8'!G89+'прил.8'!G190+'прил.8'!G323+'прил.8'!G470+'прил.8'!G594+'прил.8'!G620+'прил.8'!G719+'прил.8'!G799+'прил.8'!G936</f>
        <v>0</v>
      </c>
      <c r="H132" s="91">
        <f>'прил.8'!H89+'прил.8'!H190+'прил.8'!H323+'прил.8'!H470+'прил.8'!H594+'прил.8'!H620+'прил.8'!H719+'прил.8'!H799+'прил.8'!H936</f>
        <v>0</v>
      </c>
      <c r="I132" s="91">
        <f t="shared" si="11"/>
        <v>0</v>
      </c>
      <c r="J132" s="91">
        <f>'прил.8'!J89+'прил.8'!J190+'прил.8'!J300+'прил.8'!J323+'прил.8'!J470+'прил.8'!J594+'прил.8'!J620+'прил.8'!J719+'прил.8'!J799+'прил.8'!J936+'прил.8'!J918</f>
        <v>4814.8</v>
      </c>
      <c r="K132" s="91">
        <f t="shared" si="12"/>
        <v>4814.8</v>
      </c>
      <c r="L132" s="13"/>
      <c r="M132" s="115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7.25" customHeight="1">
      <c r="A133" s="123" t="s">
        <v>367</v>
      </c>
      <c r="B133" s="58"/>
      <c r="C133" s="57" t="s">
        <v>27</v>
      </c>
      <c r="D133" s="57" t="s">
        <v>24</v>
      </c>
      <c r="E133" s="57" t="s">
        <v>471</v>
      </c>
      <c r="F133" s="57"/>
      <c r="G133" s="91">
        <f aca="true" t="shared" si="16" ref="G133:J134">G134</f>
        <v>0</v>
      </c>
      <c r="H133" s="91">
        <f t="shared" si="16"/>
        <v>0</v>
      </c>
      <c r="I133" s="91">
        <f t="shared" si="11"/>
        <v>0</v>
      </c>
      <c r="J133" s="91">
        <f t="shared" si="16"/>
        <v>252.59999999999997</v>
      </c>
      <c r="K133" s="91">
        <f t="shared" si="12"/>
        <v>252.59999999999997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52.5" customHeight="1">
      <c r="A134" s="124" t="s">
        <v>57</v>
      </c>
      <c r="B134" s="58"/>
      <c r="C134" s="57" t="s">
        <v>27</v>
      </c>
      <c r="D134" s="57" t="s">
        <v>24</v>
      </c>
      <c r="E134" s="57" t="s">
        <v>702</v>
      </c>
      <c r="F134" s="57"/>
      <c r="G134" s="91">
        <f t="shared" si="16"/>
        <v>0</v>
      </c>
      <c r="H134" s="91">
        <f t="shared" si="16"/>
        <v>0</v>
      </c>
      <c r="I134" s="91">
        <f t="shared" si="11"/>
        <v>0</v>
      </c>
      <c r="J134" s="91">
        <f t="shared" si="16"/>
        <v>252.59999999999997</v>
      </c>
      <c r="K134" s="91">
        <f t="shared" si="12"/>
        <v>252.59999999999997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7.25" customHeight="1">
      <c r="A135" s="123" t="s">
        <v>63</v>
      </c>
      <c r="B135" s="58"/>
      <c r="C135" s="57" t="s">
        <v>27</v>
      </c>
      <c r="D135" s="57" t="s">
        <v>24</v>
      </c>
      <c r="E135" s="57" t="s">
        <v>702</v>
      </c>
      <c r="F135" s="57" t="s">
        <v>660</v>
      </c>
      <c r="G135" s="97">
        <f>'прил.8'!G92+'прил.8'!G193+'прил.8'!G326+'прил.8'!G473+'прил.8'!G597+'прил.8'!G623+'прил.8'!G722+'прил.8'!G802+'прил.8'!G939</f>
        <v>0</v>
      </c>
      <c r="H135" s="97">
        <f>'прил.8'!H92+'прил.8'!H193+'прил.8'!H326+'прил.8'!H473+'прил.8'!H597+'прил.8'!H623+'прил.8'!H722+'прил.8'!H802+'прил.8'!H939</f>
        <v>0</v>
      </c>
      <c r="I135" s="91">
        <f t="shared" si="11"/>
        <v>0</v>
      </c>
      <c r="J135" s="97">
        <f>'прил.8'!J92+'прил.8'!J193+'прил.8'!J303+'прил.8'!J326+'прил.8'!J473+'прил.8'!J597+'прил.8'!J623+'прил.8'!J722+'прил.8'!J802+'прил.8'!J939+'прил.8'!J921</f>
        <v>252.59999999999997</v>
      </c>
      <c r="K135" s="91">
        <f t="shared" si="12"/>
        <v>252.59999999999997</v>
      </c>
      <c r="L135" s="13"/>
      <c r="M135" s="115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7.25" customHeight="1">
      <c r="A136" s="124" t="s">
        <v>61</v>
      </c>
      <c r="B136" s="58"/>
      <c r="C136" s="57" t="s">
        <v>27</v>
      </c>
      <c r="D136" s="57" t="s">
        <v>109</v>
      </c>
      <c r="E136" s="57"/>
      <c r="F136" s="57"/>
      <c r="G136" s="97"/>
      <c r="H136" s="97"/>
      <c r="I136" s="91"/>
      <c r="J136" s="97">
        <f>J138</f>
        <v>1500</v>
      </c>
      <c r="K136" s="91">
        <f t="shared" si="12"/>
        <v>1500</v>
      </c>
      <c r="L136" s="13"/>
      <c r="M136" s="115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7.25" customHeight="1">
      <c r="A137" s="124" t="s">
        <v>312</v>
      </c>
      <c r="B137" s="58"/>
      <c r="C137" s="57" t="s">
        <v>27</v>
      </c>
      <c r="D137" s="57" t="s">
        <v>109</v>
      </c>
      <c r="E137" s="67" t="s">
        <v>310</v>
      </c>
      <c r="F137" s="67"/>
      <c r="G137" s="97"/>
      <c r="H137" s="97"/>
      <c r="I137" s="91"/>
      <c r="J137" s="97">
        <f>J138</f>
        <v>1500</v>
      </c>
      <c r="K137" s="91">
        <f>K138</f>
        <v>1500</v>
      </c>
      <c r="L137" s="13"/>
      <c r="M137" s="115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8.75" customHeight="1">
      <c r="A138" s="124" t="s">
        <v>757</v>
      </c>
      <c r="B138" s="58"/>
      <c r="C138" s="57" t="s">
        <v>27</v>
      </c>
      <c r="D138" s="57" t="s">
        <v>109</v>
      </c>
      <c r="E138" s="67" t="s">
        <v>311</v>
      </c>
      <c r="F138" s="67"/>
      <c r="G138" s="97"/>
      <c r="H138" s="97"/>
      <c r="I138" s="91"/>
      <c r="J138" s="97">
        <f>J139</f>
        <v>1500</v>
      </c>
      <c r="K138" s="91">
        <f t="shared" si="12"/>
        <v>1500</v>
      </c>
      <c r="L138" s="13"/>
      <c r="M138" s="115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17.25" customHeight="1">
      <c r="A139" s="133" t="s">
        <v>780</v>
      </c>
      <c r="B139" s="58"/>
      <c r="C139" s="57" t="s">
        <v>27</v>
      </c>
      <c r="D139" s="57" t="s">
        <v>109</v>
      </c>
      <c r="E139" s="67" t="s">
        <v>311</v>
      </c>
      <c r="F139" s="67" t="s">
        <v>334</v>
      </c>
      <c r="G139" s="97"/>
      <c r="H139" s="97"/>
      <c r="I139" s="91"/>
      <c r="J139" s="97">
        <f>'прил.8'!J96</f>
        <v>1500</v>
      </c>
      <c r="K139" s="91">
        <f t="shared" si="12"/>
        <v>1500</v>
      </c>
      <c r="L139" s="13"/>
      <c r="M139" s="115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6.5">
      <c r="A140" s="121" t="s">
        <v>728</v>
      </c>
      <c r="B140" s="58"/>
      <c r="C140" s="57" t="s">
        <v>27</v>
      </c>
      <c r="D140" s="57" t="s">
        <v>589</v>
      </c>
      <c r="E140" s="57"/>
      <c r="F140" s="57"/>
      <c r="G140" s="91">
        <f aca="true" t="shared" si="17" ref="G140:J142">G141</f>
        <v>45020</v>
      </c>
      <c r="H140" s="91">
        <f t="shared" si="17"/>
        <v>1195.4</v>
      </c>
      <c r="I140" s="91">
        <f t="shared" si="11"/>
        <v>46215.4</v>
      </c>
      <c r="J140" s="91">
        <f t="shared" si="17"/>
        <v>2332</v>
      </c>
      <c r="K140" s="91">
        <f t="shared" si="12"/>
        <v>48547.4</v>
      </c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s="22" customFormat="1" ht="16.5">
      <c r="A141" s="121" t="s">
        <v>729</v>
      </c>
      <c r="B141" s="58"/>
      <c r="C141" s="57" t="s">
        <v>27</v>
      </c>
      <c r="D141" s="57" t="s">
        <v>589</v>
      </c>
      <c r="E141" s="57" t="s">
        <v>265</v>
      </c>
      <c r="F141" s="57"/>
      <c r="G141" s="91">
        <f t="shared" si="17"/>
        <v>45020</v>
      </c>
      <c r="H141" s="91">
        <f t="shared" si="17"/>
        <v>1195.4</v>
      </c>
      <c r="I141" s="91">
        <f t="shared" si="11"/>
        <v>46215.4</v>
      </c>
      <c r="J141" s="91">
        <f t="shared" si="17"/>
        <v>2332</v>
      </c>
      <c r="K141" s="91">
        <f t="shared" si="12"/>
        <v>48547.4</v>
      </c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s="24" customFormat="1" ht="18" customHeight="1">
      <c r="A142" s="121" t="s">
        <v>655</v>
      </c>
      <c r="B142" s="58"/>
      <c r="C142" s="57" t="s">
        <v>27</v>
      </c>
      <c r="D142" s="57" t="s">
        <v>589</v>
      </c>
      <c r="E142" s="57" t="s">
        <v>266</v>
      </c>
      <c r="F142" s="57"/>
      <c r="G142" s="91">
        <f t="shared" si="17"/>
        <v>45020</v>
      </c>
      <c r="H142" s="91">
        <f t="shared" si="17"/>
        <v>1195.4</v>
      </c>
      <c r="I142" s="91">
        <f t="shared" si="11"/>
        <v>46215.4</v>
      </c>
      <c r="J142" s="91">
        <f t="shared" si="17"/>
        <v>2332</v>
      </c>
      <c r="K142" s="91">
        <f t="shared" si="12"/>
        <v>48547.4</v>
      </c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s="23" customFormat="1" ht="18.75" customHeight="1">
      <c r="A143" s="123" t="s">
        <v>63</v>
      </c>
      <c r="B143" s="65"/>
      <c r="C143" s="57" t="s">
        <v>27</v>
      </c>
      <c r="D143" s="57" t="s">
        <v>589</v>
      </c>
      <c r="E143" s="57" t="s">
        <v>266</v>
      </c>
      <c r="F143" s="57" t="s">
        <v>660</v>
      </c>
      <c r="G143" s="91">
        <f>'прил.8'!G100</f>
        <v>45020</v>
      </c>
      <c r="H143" s="91">
        <f>'прил.8'!H100</f>
        <v>1195.4</v>
      </c>
      <c r="I143" s="91">
        <f t="shared" si="11"/>
        <v>46215.4</v>
      </c>
      <c r="J143" s="91">
        <f>'прил.8'!J100</f>
        <v>2332</v>
      </c>
      <c r="K143" s="91">
        <f t="shared" si="12"/>
        <v>48547.4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18" customHeight="1">
      <c r="A144" s="121" t="s">
        <v>538</v>
      </c>
      <c r="B144" s="58"/>
      <c r="C144" s="57" t="s">
        <v>27</v>
      </c>
      <c r="D144" s="57" t="s">
        <v>626</v>
      </c>
      <c r="E144" s="57"/>
      <c r="F144" s="57"/>
      <c r="G144" s="91">
        <f>G145+G152+G165+G148</f>
        <v>101573.6</v>
      </c>
      <c r="H144" s="91">
        <f>H145+H152+H165+H148+H161</f>
        <v>-5341.2</v>
      </c>
      <c r="I144" s="91">
        <f t="shared" si="11"/>
        <v>96232.40000000001</v>
      </c>
      <c r="J144" s="91">
        <f>J145+J152+J165+J148+J161+J157</f>
        <v>56598</v>
      </c>
      <c r="K144" s="91">
        <f t="shared" si="12"/>
        <v>152830.40000000002</v>
      </c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53.25" customHeight="1">
      <c r="A145" s="123" t="s">
        <v>93</v>
      </c>
      <c r="B145" s="58"/>
      <c r="C145" s="57" t="s">
        <v>27</v>
      </c>
      <c r="D145" s="57" t="s">
        <v>626</v>
      </c>
      <c r="E145" s="57" t="s">
        <v>94</v>
      </c>
      <c r="F145" s="57"/>
      <c r="G145" s="91">
        <f aca="true" t="shared" si="18" ref="G145:J146">G146</f>
        <v>64780.4</v>
      </c>
      <c r="H145" s="91">
        <f t="shared" si="18"/>
        <v>-498.2</v>
      </c>
      <c r="I145" s="91">
        <f t="shared" si="11"/>
        <v>64282.200000000004</v>
      </c>
      <c r="J145" s="91">
        <f t="shared" si="18"/>
        <v>6200</v>
      </c>
      <c r="K145" s="91">
        <f t="shared" si="12"/>
        <v>70482.20000000001</v>
      </c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16.5">
      <c r="A146" s="123" t="s">
        <v>673</v>
      </c>
      <c r="B146" s="66"/>
      <c r="C146" s="57" t="s">
        <v>27</v>
      </c>
      <c r="D146" s="57" t="s">
        <v>626</v>
      </c>
      <c r="E146" s="57" t="s">
        <v>96</v>
      </c>
      <c r="F146" s="57"/>
      <c r="G146" s="91">
        <f t="shared" si="18"/>
        <v>64780.4</v>
      </c>
      <c r="H146" s="91">
        <f t="shared" si="18"/>
        <v>-498.2</v>
      </c>
      <c r="I146" s="91">
        <f t="shared" si="11"/>
        <v>64282.200000000004</v>
      </c>
      <c r="J146" s="91">
        <f t="shared" si="18"/>
        <v>6200</v>
      </c>
      <c r="K146" s="91">
        <f t="shared" si="12"/>
        <v>70482.20000000001</v>
      </c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ht="16.5">
      <c r="A147" s="123" t="s">
        <v>438</v>
      </c>
      <c r="B147" s="59"/>
      <c r="C147" s="57" t="s">
        <v>27</v>
      </c>
      <c r="D147" s="57" t="s">
        <v>626</v>
      </c>
      <c r="E147" s="57" t="s">
        <v>96</v>
      </c>
      <c r="F147" s="57" t="s">
        <v>277</v>
      </c>
      <c r="G147" s="91">
        <f>'прил.8'!G307+'прил.8'!G925+'прил.8'!G964</f>
        <v>64780.4</v>
      </c>
      <c r="H147" s="91">
        <f>'прил.8'!H307+'прил.8'!H925+'прил.8'!H964</f>
        <v>-498.2</v>
      </c>
      <c r="I147" s="91">
        <f t="shared" si="11"/>
        <v>64282.200000000004</v>
      </c>
      <c r="J147" s="91">
        <f>'прил.8'!J307+'прил.8'!J925+'прил.8'!J964</f>
        <v>6200</v>
      </c>
      <c r="K147" s="91">
        <f t="shared" si="12"/>
        <v>70482.20000000001</v>
      </c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33">
      <c r="A148" s="123" t="s">
        <v>730</v>
      </c>
      <c r="B148" s="59"/>
      <c r="C148" s="57" t="s">
        <v>27</v>
      </c>
      <c r="D148" s="57" t="s">
        <v>626</v>
      </c>
      <c r="E148" s="57" t="s">
        <v>483</v>
      </c>
      <c r="F148" s="57"/>
      <c r="G148" s="91">
        <f aca="true" t="shared" si="19" ref="G148:J150">G149</f>
        <v>12000</v>
      </c>
      <c r="H148" s="91">
        <f t="shared" si="19"/>
        <v>-8000</v>
      </c>
      <c r="I148" s="91">
        <f t="shared" si="11"/>
        <v>4000</v>
      </c>
      <c r="J148" s="91">
        <f t="shared" si="19"/>
        <v>0</v>
      </c>
      <c r="K148" s="91">
        <f t="shared" si="12"/>
        <v>4000</v>
      </c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16.5">
      <c r="A149" s="123" t="s">
        <v>844</v>
      </c>
      <c r="B149" s="59"/>
      <c r="C149" s="57" t="s">
        <v>27</v>
      </c>
      <c r="D149" s="57" t="s">
        <v>626</v>
      </c>
      <c r="E149" s="57" t="s">
        <v>33</v>
      </c>
      <c r="F149" s="57"/>
      <c r="G149" s="91">
        <f t="shared" si="19"/>
        <v>12000</v>
      </c>
      <c r="H149" s="91">
        <f t="shared" si="19"/>
        <v>-8000</v>
      </c>
      <c r="I149" s="91">
        <f t="shared" si="11"/>
        <v>4000</v>
      </c>
      <c r="J149" s="91">
        <f t="shared" si="19"/>
        <v>0</v>
      </c>
      <c r="K149" s="91">
        <f t="shared" si="12"/>
        <v>4000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16.5">
      <c r="A150" s="123" t="s">
        <v>731</v>
      </c>
      <c r="B150" s="59"/>
      <c r="C150" s="57" t="s">
        <v>27</v>
      </c>
      <c r="D150" s="57" t="s">
        <v>626</v>
      </c>
      <c r="E150" s="57" t="s">
        <v>36</v>
      </c>
      <c r="F150" s="57"/>
      <c r="G150" s="91">
        <f t="shared" si="19"/>
        <v>12000</v>
      </c>
      <c r="H150" s="91">
        <f t="shared" si="19"/>
        <v>-8000</v>
      </c>
      <c r="I150" s="91">
        <f t="shared" si="11"/>
        <v>4000</v>
      </c>
      <c r="J150" s="91">
        <f t="shared" si="19"/>
        <v>0</v>
      </c>
      <c r="K150" s="91">
        <f t="shared" si="12"/>
        <v>4000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6.5">
      <c r="A151" s="127" t="s">
        <v>271</v>
      </c>
      <c r="B151" s="59"/>
      <c r="C151" s="57" t="s">
        <v>27</v>
      </c>
      <c r="D151" s="57" t="s">
        <v>626</v>
      </c>
      <c r="E151" s="57" t="s">
        <v>36</v>
      </c>
      <c r="F151" s="57" t="s">
        <v>49</v>
      </c>
      <c r="G151" s="91">
        <f>'прил.8'!G1051</f>
        <v>12000</v>
      </c>
      <c r="H151" s="91">
        <f>'прил.8'!H1051</f>
        <v>-8000</v>
      </c>
      <c r="I151" s="91">
        <f aca="true" t="shared" si="20" ref="I151:I227">G151+H151</f>
        <v>4000</v>
      </c>
      <c r="J151" s="91">
        <f>'прил.8'!J1051</f>
        <v>0</v>
      </c>
      <c r="K151" s="91">
        <f aca="true" t="shared" si="21" ref="K151:K227">I151+J151</f>
        <v>4000</v>
      </c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8" customHeight="1">
      <c r="A152" s="121" t="s">
        <v>732</v>
      </c>
      <c r="B152" s="58"/>
      <c r="C152" s="57" t="s">
        <v>27</v>
      </c>
      <c r="D152" s="57" t="s">
        <v>626</v>
      </c>
      <c r="E152" s="57" t="s">
        <v>539</v>
      </c>
      <c r="F152" s="57"/>
      <c r="G152" s="91">
        <f>G153+G155</f>
        <v>10320.7</v>
      </c>
      <c r="H152" s="91">
        <f>H153+H155</f>
        <v>0</v>
      </c>
      <c r="I152" s="91">
        <f t="shared" si="20"/>
        <v>10320.7</v>
      </c>
      <c r="J152" s="91">
        <f>J153+J155</f>
        <v>398</v>
      </c>
      <c r="K152" s="91">
        <f t="shared" si="21"/>
        <v>10718.7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ht="16.5">
      <c r="A153" s="127" t="s">
        <v>554</v>
      </c>
      <c r="B153" s="60"/>
      <c r="C153" s="57" t="s">
        <v>27</v>
      </c>
      <c r="D153" s="57" t="s">
        <v>626</v>
      </c>
      <c r="E153" s="57" t="s">
        <v>555</v>
      </c>
      <c r="F153" s="57"/>
      <c r="G153" s="91">
        <f>G154</f>
        <v>10320.7</v>
      </c>
      <c r="H153" s="91">
        <f>H154</f>
        <v>0</v>
      </c>
      <c r="I153" s="91">
        <f t="shared" si="20"/>
        <v>10320.7</v>
      </c>
      <c r="J153" s="91">
        <f>J154</f>
        <v>398</v>
      </c>
      <c r="K153" s="91">
        <f t="shared" si="21"/>
        <v>10718.7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18" customHeight="1">
      <c r="A154" s="123" t="s">
        <v>438</v>
      </c>
      <c r="B154" s="59"/>
      <c r="C154" s="57" t="s">
        <v>27</v>
      </c>
      <c r="D154" s="57" t="s">
        <v>626</v>
      </c>
      <c r="E154" s="57" t="s">
        <v>555</v>
      </c>
      <c r="F154" s="57" t="s">
        <v>277</v>
      </c>
      <c r="G154" s="91">
        <f>'прил.8'!G928+'прил.8'!G209+'прил.8'!G310</f>
        <v>10320.7</v>
      </c>
      <c r="H154" s="91">
        <f>'прил.8'!H928+'прил.8'!H209+'прил.8'!H310</f>
        <v>0</v>
      </c>
      <c r="I154" s="91">
        <f t="shared" si="20"/>
        <v>10320.7</v>
      </c>
      <c r="J154" s="91">
        <f>'прил.8'!J928+'прил.8'!J209+'прил.8'!J310</f>
        <v>398</v>
      </c>
      <c r="K154" s="91">
        <f t="shared" si="21"/>
        <v>10718.7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ht="34.5" customHeight="1" hidden="1">
      <c r="A155" s="123" t="s">
        <v>365</v>
      </c>
      <c r="B155" s="68">
        <v>811</v>
      </c>
      <c r="C155" s="57" t="s">
        <v>27</v>
      </c>
      <c r="D155" s="57" t="s">
        <v>626</v>
      </c>
      <c r="E155" s="57" t="s">
        <v>340</v>
      </c>
      <c r="F155" s="57"/>
      <c r="G155" s="91">
        <f>G156</f>
        <v>0</v>
      </c>
      <c r="H155" s="91">
        <f>H156</f>
        <v>0</v>
      </c>
      <c r="I155" s="91">
        <f t="shared" si="20"/>
        <v>0</v>
      </c>
      <c r="J155" s="91">
        <f>J156</f>
        <v>0</v>
      </c>
      <c r="K155" s="91">
        <f t="shared" si="21"/>
        <v>0</v>
      </c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ht="18" customHeight="1" hidden="1">
      <c r="A156" s="127" t="s">
        <v>271</v>
      </c>
      <c r="B156" s="68">
        <v>811</v>
      </c>
      <c r="C156" s="57" t="s">
        <v>27</v>
      </c>
      <c r="D156" s="57" t="s">
        <v>626</v>
      </c>
      <c r="E156" s="57" t="s">
        <v>340</v>
      </c>
      <c r="F156" s="57" t="s">
        <v>49</v>
      </c>
      <c r="G156" s="91">
        <f>'прил.8'!G930</f>
        <v>0</v>
      </c>
      <c r="H156" s="91">
        <f>'прил.8'!H930</f>
        <v>0</v>
      </c>
      <c r="I156" s="91">
        <f t="shared" si="20"/>
        <v>0</v>
      </c>
      <c r="J156" s="91">
        <f>'прил.8'!J930</f>
        <v>0</v>
      </c>
      <c r="K156" s="91">
        <f t="shared" si="21"/>
        <v>0</v>
      </c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ht="18" customHeight="1">
      <c r="A157" s="132" t="s">
        <v>688</v>
      </c>
      <c r="B157" s="68"/>
      <c r="C157" s="67" t="s">
        <v>27</v>
      </c>
      <c r="D157" s="67" t="s">
        <v>626</v>
      </c>
      <c r="E157" s="67" t="s">
        <v>686</v>
      </c>
      <c r="F157" s="67"/>
      <c r="G157" s="91"/>
      <c r="H157" s="91"/>
      <c r="I157" s="91"/>
      <c r="J157" s="91">
        <f>J158</f>
        <v>50000</v>
      </c>
      <c r="K157" s="91">
        <f t="shared" si="21"/>
        <v>50000</v>
      </c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ht="35.25" customHeight="1">
      <c r="A158" s="132" t="s">
        <v>689</v>
      </c>
      <c r="B158" s="68"/>
      <c r="C158" s="67" t="s">
        <v>27</v>
      </c>
      <c r="D158" s="67" t="s">
        <v>626</v>
      </c>
      <c r="E158" s="67" t="s">
        <v>687</v>
      </c>
      <c r="F158" s="67"/>
      <c r="G158" s="91"/>
      <c r="H158" s="91"/>
      <c r="I158" s="91"/>
      <c r="J158" s="91">
        <f>J159</f>
        <v>50000</v>
      </c>
      <c r="K158" s="91">
        <f t="shared" si="21"/>
        <v>50000</v>
      </c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ht="53.25" customHeight="1">
      <c r="A159" s="132" t="s">
        <v>59</v>
      </c>
      <c r="B159" s="68"/>
      <c r="C159" s="67" t="s">
        <v>27</v>
      </c>
      <c r="D159" s="67" t="s">
        <v>626</v>
      </c>
      <c r="E159" s="67" t="s">
        <v>685</v>
      </c>
      <c r="F159" s="67"/>
      <c r="G159" s="91"/>
      <c r="H159" s="91"/>
      <c r="I159" s="91"/>
      <c r="J159" s="91">
        <f>J160</f>
        <v>50000</v>
      </c>
      <c r="K159" s="91">
        <f t="shared" si="21"/>
        <v>50000</v>
      </c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ht="18" customHeight="1">
      <c r="A160" s="133" t="s">
        <v>780</v>
      </c>
      <c r="B160" s="68"/>
      <c r="C160" s="67" t="s">
        <v>27</v>
      </c>
      <c r="D160" s="67" t="s">
        <v>626</v>
      </c>
      <c r="E160" s="67" t="s">
        <v>685</v>
      </c>
      <c r="F160" s="67" t="s">
        <v>334</v>
      </c>
      <c r="G160" s="91"/>
      <c r="H160" s="91"/>
      <c r="I160" s="91"/>
      <c r="J160" s="91">
        <f>'прил.8'!J105</f>
        <v>50000</v>
      </c>
      <c r="K160" s="91">
        <f t="shared" si="21"/>
        <v>50000</v>
      </c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8" customHeight="1">
      <c r="A161" s="134" t="s">
        <v>470</v>
      </c>
      <c r="B161" s="68"/>
      <c r="C161" s="57" t="s">
        <v>27</v>
      </c>
      <c r="D161" s="57" t="s">
        <v>626</v>
      </c>
      <c r="E161" s="67" t="s">
        <v>471</v>
      </c>
      <c r="F161" s="67"/>
      <c r="G161" s="91"/>
      <c r="H161" s="91">
        <f aca="true" t="shared" si="22" ref="H161:J163">H162</f>
        <v>2632</v>
      </c>
      <c r="I161" s="91">
        <f t="shared" si="20"/>
        <v>2632</v>
      </c>
      <c r="J161" s="91">
        <f t="shared" si="22"/>
        <v>0</v>
      </c>
      <c r="K161" s="91">
        <f t="shared" si="21"/>
        <v>2632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ht="37.5" customHeight="1">
      <c r="A162" s="73" t="s">
        <v>696</v>
      </c>
      <c r="B162" s="68"/>
      <c r="C162" s="57" t="s">
        <v>27</v>
      </c>
      <c r="D162" s="57" t="s">
        <v>626</v>
      </c>
      <c r="E162" s="67" t="s">
        <v>697</v>
      </c>
      <c r="F162" s="67"/>
      <c r="G162" s="91"/>
      <c r="H162" s="91">
        <f t="shared" si="22"/>
        <v>2632</v>
      </c>
      <c r="I162" s="91">
        <f t="shared" si="20"/>
        <v>2632</v>
      </c>
      <c r="J162" s="91">
        <f t="shared" si="22"/>
        <v>0</v>
      </c>
      <c r="K162" s="91">
        <f t="shared" si="21"/>
        <v>2632</v>
      </c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ht="33.75" customHeight="1">
      <c r="A163" s="73" t="s">
        <v>60</v>
      </c>
      <c r="B163" s="68"/>
      <c r="C163" s="57" t="s">
        <v>27</v>
      </c>
      <c r="D163" s="57" t="s">
        <v>626</v>
      </c>
      <c r="E163" s="67" t="s">
        <v>85</v>
      </c>
      <c r="F163" s="67"/>
      <c r="G163" s="91"/>
      <c r="H163" s="91">
        <f t="shared" si="22"/>
        <v>2632</v>
      </c>
      <c r="I163" s="91">
        <f t="shared" si="20"/>
        <v>2632</v>
      </c>
      <c r="J163" s="91">
        <f t="shared" si="22"/>
        <v>0</v>
      </c>
      <c r="K163" s="91">
        <f t="shared" si="21"/>
        <v>2632</v>
      </c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ht="21" customHeight="1">
      <c r="A164" s="73" t="s">
        <v>698</v>
      </c>
      <c r="B164" s="68"/>
      <c r="C164" s="57" t="s">
        <v>27</v>
      </c>
      <c r="D164" s="57" t="s">
        <v>626</v>
      </c>
      <c r="E164" s="67" t="s">
        <v>85</v>
      </c>
      <c r="F164" s="67" t="s">
        <v>334</v>
      </c>
      <c r="G164" s="91"/>
      <c r="H164" s="91">
        <f>'прил.8'!H109</f>
        <v>2632</v>
      </c>
      <c r="I164" s="91">
        <f t="shared" si="20"/>
        <v>2632</v>
      </c>
      <c r="J164" s="91">
        <f>'прил.8'!J109</f>
        <v>0</v>
      </c>
      <c r="K164" s="91">
        <f t="shared" si="21"/>
        <v>2632</v>
      </c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ht="18" customHeight="1">
      <c r="A165" s="121" t="s">
        <v>441</v>
      </c>
      <c r="B165" s="68"/>
      <c r="C165" s="57" t="s">
        <v>27</v>
      </c>
      <c r="D165" s="57" t="s">
        <v>626</v>
      </c>
      <c r="E165" s="57" t="s">
        <v>433</v>
      </c>
      <c r="F165" s="57"/>
      <c r="G165" s="91">
        <f>G166</f>
        <v>14472.5</v>
      </c>
      <c r="H165" s="91">
        <f>H166</f>
        <v>525</v>
      </c>
      <c r="I165" s="91">
        <f t="shared" si="20"/>
        <v>14997.5</v>
      </c>
      <c r="J165" s="91">
        <f>J166</f>
        <v>0</v>
      </c>
      <c r="K165" s="91">
        <f t="shared" si="21"/>
        <v>14997.5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ht="18" customHeight="1">
      <c r="A166" s="121" t="s">
        <v>470</v>
      </c>
      <c r="B166" s="68"/>
      <c r="C166" s="57" t="s">
        <v>27</v>
      </c>
      <c r="D166" s="57" t="s">
        <v>626</v>
      </c>
      <c r="E166" s="57" t="s">
        <v>434</v>
      </c>
      <c r="F166" s="57"/>
      <c r="G166" s="91">
        <f>G167+G170</f>
        <v>14472.5</v>
      </c>
      <c r="H166" s="91">
        <f>H167+H170</f>
        <v>525</v>
      </c>
      <c r="I166" s="91">
        <f t="shared" si="20"/>
        <v>14997.5</v>
      </c>
      <c r="J166" s="91">
        <f>J167+J170</f>
        <v>0</v>
      </c>
      <c r="K166" s="91">
        <f t="shared" si="21"/>
        <v>14997.5</v>
      </c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ht="36" customHeight="1">
      <c r="A167" s="123" t="s">
        <v>400</v>
      </c>
      <c r="B167" s="68"/>
      <c r="C167" s="57" t="s">
        <v>27</v>
      </c>
      <c r="D167" s="57" t="s">
        <v>626</v>
      </c>
      <c r="E167" s="57" t="s">
        <v>450</v>
      </c>
      <c r="F167" s="57"/>
      <c r="G167" s="91">
        <f>G169</f>
        <v>2472.5</v>
      </c>
      <c r="H167" s="91">
        <f>SUM(H168:H169)</f>
        <v>525</v>
      </c>
      <c r="I167" s="91">
        <f t="shared" si="20"/>
        <v>2997.5</v>
      </c>
      <c r="J167" s="91">
        <f>SUM(J168:J169)</f>
        <v>0</v>
      </c>
      <c r="K167" s="91">
        <f t="shared" si="21"/>
        <v>2997.5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ht="19.5" customHeight="1">
      <c r="A168" s="73" t="s">
        <v>780</v>
      </c>
      <c r="B168" s="68"/>
      <c r="C168" s="57" t="s">
        <v>27</v>
      </c>
      <c r="D168" s="57" t="s">
        <v>626</v>
      </c>
      <c r="E168" s="57" t="s">
        <v>450</v>
      </c>
      <c r="F168" s="57" t="s">
        <v>334</v>
      </c>
      <c r="G168" s="91"/>
      <c r="H168" s="91">
        <f>'прил.8'!H113</f>
        <v>525</v>
      </c>
      <c r="I168" s="91">
        <f t="shared" si="20"/>
        <v>525</v>
      </c>
      <c r="J168" s="91">
        <f>'прил.8'!J113</f>
        <v>0</v>
      </c>
      <c r="K168" s="91">
        <f t="shared" si="21"/>
        <v>525</v>
      </c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ht="16.5">
      <c r="A169" s="121" t="s">
        <v>733</v>
      </c>
      <c r="B169" s="68"/>
      <c r="C169" s="57" t="s">
        <v>27</v>
      </c>
      <c r="D169" s="57" t="s">
        <v>626</v>
      </c>
      <c r="E169" s="57" t="s">
        <v>450</v>
      </c>
      <c r="F169" s="57" t="s">
        <v>318</v>
      </c>
      <c r="G169" s="91">
        <f>'прил.8'!G114</f>
        <v>2472.5</v>
      </c>
      <c r="H169" s="91">
        <f>'прил.8'!H114</f>
        <v>0</v>
      </c>
      <c r="I169" s="91">
        <f t="shared" si="20"/>
        <v>2472.5</v>
      </c>
      <c r="J169" s="91">
        <f>'прил.8'!J114</f>
        <v>0</v>
      </c>
      <c r="K169" s="91">
        <f t="shared" si="21"/>
        <v>2472.5</v>
      </c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ht="17.25" customHeight="1">
      <c r="A170" s="121" t="s">
        <v>448</v>
      </c>
      <c r="B170" s="68"/>
      <c r="C170" s="57" t="s">
        <v>27</v>
      </c>
      <c r="D170" s="57" t="s">
        <v>626</v>
      </c>
      <c r="E170" s="68" t="s">
        <v>452</v>
      </c>
      <c r="F170" s="57"/>
      <c r="G170" s="91">
        <f>G171</f>
        <v>12000</v>
      </c>
      <c r="H170" s="91">
        <f>H171</f>
        <v>0</v>
      </c>
      <c r="I170" s="91">
        <f t="shared" si="20"/>
        <v>12000</v>
      </c>
      <c r="J170" s="91">
        <f>J171</f>
        <v>0</v>
      </c>
      <c r="K170" s="91">
        <f t="shared" si="21"/>
        <v>12000</v>
      </c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6.5">
      <c r="A171" s="121" t="s">
        <v>733</v>
      </c>
      <c r="B171" s="68"/>
      <c r="C171" s="57" t="s">
        <v>27</v>
      </c>
      <c r="D171" s="57" t="s">
        <v>626</v>
      </c>
      <c r="E171" s="68" t="s">
        <v>452</v>
      </c>
      <c r="F171" s="57" t="s">
        <v>318</v>
      </c>
      <c r="G171" s="91">
        <f>'прил.8'!G116</f>
        <v>12000</v>
      </c>
      <c r="H171" s="91">
        <f>'прил.8'!H116</f>
        <v>0</v>
      </c>
      <c r="I171" s="91">
        <f t="shared" si="20"/>
        <v>12000</v>
      </c>
      <c r="J171" s="91">
        <f>'прил.8'!J116</f>
        <v>0</v>
      </c>
      <c r="K171" s="91">
        <f t="shared" si="21"/>
        <v>12000</v>
      </c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s="22" customFormat="1" ht="16.5">
      <c r="A172" s="121" t="s">
        <v>112</v>
      </c>
      <c r="B172" s="58"/>
      <c r="C172" s="57" t="s">
        <v>108</v>
      </c>
      <c r="D172" s="57"/>
      <c r="E172" s="57"/>
      <c r="F172" s="57"/>
      <c r="G172" s="91">
        <f>G173+G214+G238+G283</f>
        <v>1227383.7</v>
      </c>
      <c r="H172" s="91">
        <f>H173+H214+H238+H283</f>
        <v>-35395.200000000004</v>
      </c>
      <c r="I172" s="91">
        <f t="shared" si="20"/>
        <v>1191988.5</v>
      </c>
      <c r="J172" s="91">
        <f>J173+J214+J238+J283</f>
        <v>106702.3</v>
      </c>
      <c r="K172" s="91">
        <f t="shared" si="21"/>
        <v>1298690.8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s="23" customFormat="1" ht="16.5">
      <c r="A173" s="121" t="s">
        <v>240</v>
      </c>
      <c r="B173" s="58"/>
      <c r="C173" s="57" t="s">
        <v>108</v>
      </c>
      <c r="D173" s="57" t="s">
        <v>24</v>
      </c>
      <c r="E173" s="57"/>
      <c r="F173" s="57"/>
      <c r="G173" s="91">
        <f>G174+G180+G192</f>
        <v>54739.1</v>
      </c>
      <c r="H173" s="91">
        <f>H174+H180+H192+H188</f>
        <v>4000</v>
      </c>
      <c r="I173" s="91">
        <f t="shared" si="20"/>
        <v>58739.1</v>
      </c>
      <c r="J173" s="91">
        <f>J174+J180+J192+J188+J207</f>
        <v>20200</v>
      </c>
      <c r="K173" s="91">
        <f t="shared" si="21"/>
        <v>78939.1</v>
      </c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ht="33.75" customHeight="1">
      <c r="A174" s="121" t="s">
        <v>734</v>
      </c>
      <c r="B174" s="73"/>
      <c r="C174" s="57" t="s">
        <v>34</v>
      </c>
      <c r="D174" s="57" t="s">
        <v>24</v>
      </c>
      <c r="E174" s="57" t="s">
        <v>207</v>
      </c>
      <c r="F174" s="57"/>
      <c r="G174" s="91">
        <f>G175+G177</f>
        <v>29000</v>
      </c>
      <c r="H174" s="91">
        <f>H175+H177</f>
        <v>-3000</v>
      </c>
      <c r="I174" s="91">
        <f t="shared" si="20"/>
        <v>26000</v>
      </c>
      <c r="J174" s="91">
        <f>J175+J177</f>
        <v>0</v>
      </c>
      <c r="K174" s="91">
        <f t="shared" si="21"/>
        <v>26000</v>
      </c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ht="66" hidden="1">
      <c r="A175" s="121" t="s">
        <v>197</v>
      </c>
      <c r="B175" s="58"/>
      <c r="C175" s="57" t="s">
        <v>491</v>
      </c>
      <c r="D175" s="57" t="s">
        <v>24</v>
      </c>
      <c r="E175" s="57" t="s">
        <v>654</v>
      </c>
      <c r="F175" s="57"/>
      <c r="G175" s="91">
        <f>G176</f>
        <v>0</v>
      </c>
      <c r="H175" s="91">
        <f>H176</f>
        <v>0</v>
      </c>
      <c r="I175" s="91">
        <f t="shared" si="20"/>
        <v>0</v>
      </c>
      <c r="J175" s="91">
        <f>J176</f>
        <v>0</v>
      </c>
      <c r="K175" s="91">
        <f t="shared" si="21"/>
        <v>0</v>
      </c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ht="16.5" hidden="1">
      <c r="A176" s="127" t="s">
        <v>657</v>
      </c>
      <c r="B176" s="60"/>
      <c r="C176" s="57" t="s">
        <v>491</v>
      </c>
      <c r="D176" s="57" t="s">
        <v>24</v>
      </c>
      <c r="E176" s="57" t="s">
        <v>654</v>
      </c>
      <c r="F176" s="57" t="s">
        <v>334</v>
      </c>
      <c r="G176" s="91">
        <f>'прил.8'!G214</f>
        <v>0</v>
      </c>
      <c r="H176" s="91">
        <f>'прил.8'!H214</f>
        <v>0</v>
      </c>
      <c r="I176" s="91">
        <f t="shared" si="20"/>
        <v>0</v>
      </c>
      <c r="J176" s="91">
        <f>'прил.8'!J214</f>
        <v>0</v>
      </c>
      <c r="K176" s="91">
        <f t="shared" si="21"/>
        <v>0</v>
      </c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ht="50.25" customHeight="1">
      <c r="A177" s="121" t="s">
        <v>735</v>
      </c>
      <c r="B177" s="73"/>
      <c r="C177" s="57" t="s">
        <v>34</v>
      </c>
      <c r="D177" s="57" t="s">
        <v>24</v>
      </c>
      <c r="E177" s="57" t="s">
        <v>341</v>
      </c>
      <c r="F177" s="57"/>
      <c r="G177" s="91">
        <f aca="true" t="shared" si="23" ref="G177:J178">G178</f>
        <v>29000</v>
      </c>
      <c r="H177" s="91">
        <f t="shared" si="23"/>
        <v>-3000</v>
      </c>
      <c r="I177" s="91">
        <f t="shared" si="20"/>
        <v>26000</v>
      </c>
      <c r="J177" s="91">
        <f t="shared" si="23"/>
        <v>0</v>
      </c>
      <c r="K177" s="91">
        <f t="shared" si="21"/>
        <v>26000</v>
      </c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ht="35.25" customHeight="1">
      <c r="A178" s="121" t="s">
        <v>302</v>
      </c>
      <c r="B178" s="58"/>
      <c r="C178" s="57" t="s">
        <v>34</v>
      </c>
      <c r="D178" s="57" t="s">
        <v>24</v>
      </c>
      <c r="E178" s="57" t="s">
        <v>209</v>
      </c>
      <c r="F178" s="57"/>
      <c r="G178" s="91">
        <f t="shared" si="23"/>
        <v>29000</v>
      </c>
      <c r="H178" s="91">
        <f t="shared" si="23"/>
        <v>-3000</v>
      </c>
      <c r="I178" s="91">
        <f t="shared" si="20"/>
        <v>26000</v>
      </c>
      <c r="J178" s="91">
        <f t="shared" si="23"/>
        <v>0</v>
      </c>
      <c r="K178" s="91">
        <f t="shared" si="21"/>
        <v>26000</v>
      </c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ht="16.5">
      <c r="A179" s="127" t="s">
        <v>736</v>
      </c>
      <c r="B179" s="60"/>
      <c r="C179" s="57" t="s">
        <v>34</v>
      </c>
      <c r="D179" s="57" t="s">
        <v>24</v>
      </c>
      <c r="E179" s="57" t="s">
        <v>209</v>
      </c>
      <c r="F179" s="57" t="s">
        <v>334</v>
      </c>
      <c r="G179" s="91">
        <f>'прил.8'!G217</f>
        <v>29000</v>
      </c>
      <c r="H179" s="91">
        <f>'прил.8'!H217</f>
        <v>-3000</v>
      </c>
      <c r="I179" s="91">
        <f t="shared" si="20"/>
        <v>26000</v>
      </c>
      <c r="J179" s="91">
        <f>'прил.8'!J217</f>
        <v>0</v>
      </c>
      <c r="K179" s="91">
        <f t="shared" si="21"/>
        <v>26000</v>
      </c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ht="16.5" hidden="1">
      <c r="A180" s="127" t="s">
        <v>199</v>
      </c>
      <c r="B180" s="60"/>
      <c r="C180" s="57" t="s">
        <v>108</v>
      </c>
      <c r="D180" s="57" t="s">
        <v>24</v>
      </c>
      <c r="E180" s="57" t="s">
        <v>483</v>
      </c>
      <c r="F180" s="57"/>
      <c r="G180" s="91">
        <f>G181+G185</f>
        <v>0</v>
      </c>
      <c r="H180" s="91">
        <f>H181+H185</f>
        <v>0</v>
      </c>
      <c r="I180" s="91">
        <f t="shared" si="20"/>
        <v>0</v>
      </c>
      <c r="J180" s="91">
        <f>J181+J185</f>
        <v>0</v>
      </c>
      <c r="K180" s="91">
        <f t="shared" si="21"/>
        <v>0</v>
      </c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52.5" customHeight="1" hidden="1">
      <c r="A181" s="127" t="s">
        <v>123</v>
      </c>
      <c r="B181" s="68">
        <v>803</v>
      </c>
      <c r="C181" s="57" t="s">
        <v>108</v>
      </c>
      <c r="D181" s="57" t="s">
        <v>24</v>
      </c>
      <c r="E181" s="57" t="s">
        <v>120</v>
      </c>
      <c r="F181" s="57"/>
      <c r="G181" s="91">
        <f>G182</f>
        <v>0</v>
      </c>
      <c r="H181" s="91">
        <f>H182</f>
        <v>0</v>
      </c>
      <c r="I181" s="91">
        <f t="shared" si="20"/>
        <v>0</v>
      </c>
      <c r="J181" s="91">
        <f>J182</f>
        <v>0</v>
      </c>
      <c r="K181" s="91">
        <f t="shared" si="21"/>
        <v>0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ht="33" hidden="1">
      <c r="A182" s="123" t="s">
        <v>270</v>
      </c>
      <c r="B182" s="68">
        <v>803</v>
      </c>
      <c r="C182" s="57" t="s">
        <v>108</v>
      </c>
      <c r="D182" s="57" t="s">
        <v>24</v>
      </c>
      <c r="E182" s="57" t="s">
        <v>485</v>
      </c>
      <c r="F182" s="57"/>
      <c r="G182" s="91">
        <f>SUM(G183:G184)</f>
        <v>0</v>
      </c>
      <c r="H182" s="91">
        <f>SUM(H183:H184)</f>
        <v>0</v>
      </c>
      <c r="I182" s="91">
        <f t="shared" si="20"/>
        <v>0</v>
      </c>
      <c r="J182" s="91">
        <f>SUM(J183:J184)</f>
        <v>0</v>
      </c>
      <c r="K182" s="91">
        <f t="shared" si="21"/>
        <v>0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ht="16.5" hidden="1">
      <c r="A183" s="123" t="s">
        <v>675</v>
      </c>
      <c r="B183" s="68">
        <v>841</v>
      </c>
      <c r="C183" s="57" t="s">
        <v>108</v>
      </c>
      <c r="D183" s="57" t="s">
        <v>24</v>
      </c>
      <c r="E183" s="57" t="s">
        <v>485</v>
      </c>
      <c r="F183" s="57" t="s">
        <v>126</v>
      </c>
      <c r="G183" s="91">
        <f>'прил.8'!G1057</f>
        <v>0</v>
      </c>
      <c r="H183" s="91">
        <f>'прил.8'!H1057</f>
        <v>0</v>
      </c>
      <c r="I183" s="91">
        <f t="shared" si="20"/>
        <v>0</v>
      </c>
      <c r="J183" s="91">
        <f>'прил.8'!J1057</f>
        <v>0</v>
      </c>
      <c r="K183" s="91">
        <f t="shared" si="21"/>
        <v>0</v>
      </c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15.75" customHeight="1" hidden="1">
      <c r="A184" s="123" t="s">
        <v>127</v>
      </c>
      <c r="B184" s="68">
        <v>841</v>
      </c>
      <c r="C184" s="57" t="s">
        <v>108</v>
      </c>
      <c r="D184" s="57" t="s">
        <v>24</v>
      </c>
      <c r="E184" s="57" t="s">
        <v>485</v>
      </c>
      <c r="F184" s="57" t="s">
        <v>128</v>
      </c>
      <c r="G184" s="91">
        <f>'прил.8'!G1058</f>
        <v>0</v>
      </c>
      <c r="H184" s="91">
        <f>'прил.8'!H1058</f>
        <v>0</v>
      </c>
      <c r="I184" s="91">
        <f t="shared" si="20"/>
        <v>0</v>
      </c>
      <c r="J184" s="91">
        <f>'прил.8'!J1058</f>
        <v>0</v>
      </c>
      <c r="K184" s="91">
        <f t="shared" si="21"/>
        <v>0</v>
      </c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ht="15.75" customHeight="1" hidden="1">
      <c r="A185" s="123" t="s">
        <v>199</v>
      </c>
      <c r="B185" s="68">
        <v>841</v>
      </c>
      <c r="C185" s="57" t="s">
        <v>108</v>
      </c>
      <c r="D185" s="57" t="s">
        <v>24</v>
      </c>
      <c r="E185" s="57" t="s">
        <v>33</v>
      </c>
      <c r="F185" s="57"/>
      <c r="G185" s="91">
        <f aca="true" t="shared" si="24" ref="G185:J186">G186</f>
        <v>0</v>
      </c>
      <c r="H185" s="91">
        <f t="shared" si="24"/>
        <v>0</v>
      </c>
      <c r="I185" s="91">
        <f t="shared" si="20"/>
        <v>0</v>
      </c>
      <c r="J185" s="91">
        <f t="shared" si="24"/>
        <v>0</v>
      </c>
      <c r="K185" s="91">
        <f t="shared" si="21"/>
        <v>0</v>
      </c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ht="15.75" customHeight="1" hidden="1">
      <c r="A186" s="123" t="s">
        <v>844</v>
      </c>
      <c r="B186" s="68"/>
      <c r="C186" s="57" t="s">
        <v>108</v>
      </c>
      <c r="D186" s="57" t="s">
        <v>24</v>
      </c>
      <c r="E186" s="57" t="s">
        <v>36</v>
      </c>
      <c r="F186" s="57"/>
      <c r="G186" s="91">
        <f t="shared" si="24"/>
        <v>0</v>
      </c>
      <c r="H186" s="91">
        <f t="shared" si="24"/>
        <v>0</v>
      </c>
      <c r="I186" s="91">
        <f t="shared" si="20"/>
        <v>0</v>
      </c>
      <c r="J186" s="91">
        <f t="shared" si="24"/>
        <v>0</v>
      </c>
      <c r="K186" s="91">
        <f t="shared" si="21"/>
        <v>0</v>
      </c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ht="15.75" customHeight="1" hidden="1">
      <c r="A187" s="123" t="s">
        <v>343</v>
      </c>
      <c r="B187" s="68"/>
      <c r="C187" s="57" t="s">
        <v>108</v>
      </c>
      <c r="D187" s="57" t="s">
        <v>24</v>
      </c>
      <c r="E187" s="57" t="s">
        <v>36</v>
      </c>
      <c r="F187" s="57" t="s">
        <v>49</v>
      </c>
      <c r="G187" s="91">
        <f>'прил.8'!G1065</f>
        <v>0</v>
      </c>
      <c r="H187" s="91">
        <f>'прил.8'!H1065</f>
        <v>0</v>
      </c>
      <c r="I187" s="91">
        <f t="shared" si="20"/>
        <v>0</v>
      </c>
      <c r="J187" s="91">
        <f>'прил.8'!J1065</f>
        <v>0</v>
      </c>
      <c r="K187" s="91">
        <f t="shared" si="21"/>
        <v>0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ht="36" customHeight="1">
      <c r="A188" s="124" t="s">
        <v>268</v>
      </c>
      <c r="B188" s="68"/>
      <c r="C188" s="57" t="s">
        <v>108</v>
      </c>
      <c r="D188" s="57" t="s">
        <v>24</v>
      </c>
      <c r="E188" s="67" t="s">
        <v>483</v>
      </c>
      <c r="F188" s="67"/>
      <c r="G188" s="91"/>
      <c r="H188" s="91">
        <f aca="true" t="shared" si="25" ref="H188:J190">H189</f>
        <v>2000</v>
      </c>
      <c r="I188" s="91">
        <f t="shared" si="20"/>
        <v>2000</v>
      </c>
      <c r="J188" s="91">
        <f t="shared" si="25"/>
        <v>0</v>
      </c>
      <c r="K188" s="91">
        <f t="shared" si="21"/>
        <v>2000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ht="15.75" customHeight="1">
      <c r="A189" s="124" t="s">
        <v>7</v>
      </c>
      <c r="B189" s="68"/>
      <c r="C189" s="57" t="s">
        <v>108</v>
      </c>
      <c r="D189" s="57" t="s">
        <v>24</v>
      </c>
      <c r="E189" s="67" t="s">
        <v>33</v>
      </c>
      <c r="F189" s="67"/>
      <c r="G189" s="91"/>
      <c r="H189" s="91">
        <f t="shared" si="25"/>
        <v>2000</v>
      </c>
      <c r="I189" s="91">
        <f t="shared" si="20"/>
        <v>2000</v>
      </c>
      <c r="J189" s="91">
        <f t="shared" si="25"/>
        <v>0</v>
      </c>
      <c r="K189" s="91">
        <f t="shared" si="21"/>
        <v>2000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ht="15.75" customHeight="1">
      <c r="A190" s="124" t="s">
        <v>343</v>
      </c>
      <c r="B190" s="68"/>
      <c r="C190" s="57" t="s">
        <v>108</v>
      </c>
      <c r="D190" s="57" t="s">
        <v>24</v>
      </c>
      <c r="E190" s="67" t="s">
        <v>36</v>
      </c>
      <c r="F190" s="67"/>
      <c r="G190" s="91"/>
      <c r="H190" s="91">
        <f t="shared" si="25"/>
        <v>2000</v>
      </c>
      <c r="I190" s="91">
        <f t="shared" si="20"/>
        <v>2000</v>
      </c>
      <c r="J190" s="91">
        <f t="shared" si="25"/>
        <v>0</v>
      </c>
      <c r="K190" s="91">
        <f t="shared" si="21"/>
        <v>2000</v>
      </c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15.75" customHeight="1">
      <c r="A191" s="135" t="s">
        <v>271</v>
      </c>
      <c r="B191" s="68"/>
      <c r="C191" s="57" t="s">
        <v>108</v>
      </c>
      <c r="D191" s="57" t="s">
        <v>24</v>
      </c>
      <c r="E191" s="67" t="s">
        <v>36</v>
      </c>
      <c r="F191" s="67" t="s">
        <v>49</v>
      </c>
      <c r="G191" s="91"/>
      <c r="H191" s="91">
        <f>'прил.8'!H1070</f>
        <v>2000</v>
      </c>
      <c r="I191" s="91">
        <f t="shared" si="20"/>
        <v>2000</v>
      </c>
      <c r="J191" s="91">
        <f>'прил.8'!J1070</f>
        <v>0</v>
      </c>
      <c r="K191" s="91">
        <f t="shared" si="21"/>
        <v>2000</v>
      </c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ht="16.5">
      <c r="A192" s="121" t="s">
        <v>737</v>
      </c>
      <c r="B192" s="58"/>
      <c r="C192" s="57" t="s">
        <v>108</v>
      </c>
      <c r="D192" s="57" t="s">
        <v>24</v>
      </c>
      <c r="E192" s="57" t="s">
        <v>487</v>
      </c>
      <c r="F192" s="57"/>
      <c r="G192" s="91">
        <f>G195+G198+G200+G205</f>
        <v>25739.1</v>
      </c>
      <c r="H192" s="91">
        <f>H195+H198+H200+H205+H203</f>
        <v>5000</v>
      </c>
      <c r="I192" s="91">
        <f t="shared" si="20"/>
        <v>30739.1</v>
      </c>
      <c r="J192" s="91">
        <f>J195+J198+J200+J205+J203+J193</f>
        <v>20000</v>
      </c>
      <c r="K192" s="91">
        <f t="shared" si="21"/>
        <v>50739.1</v>
      </c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ht="16.5">
      <c r="A193" s="136" t="s">
        <v>713</v>
      </c>
      <c r="B193" s="58"/>
      <c r="C193" s="57" t="s">
        <v>108</v>
      </c>
      <c r="D193" s="57" t="s">
        <v>24</v>
      </c>
      <c r="E193" s="57" t="s">
        <v>712</v>
      </c>
      <c r="F193" s="57"/>
      <c r="G193" s="91"/>
      <c r="H193" s="91"/>
      <c r="I193" s="91"/>
      <c r="J193" s="91">
        <f>J194</f>
        <v>20000</v>
      </c>
      <c r="K193" s="91">
        <f t="shared" si="21"/>
        <v>20000</v>
      </c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ht="16.5">
      <c r="A194" s="135" t="s">
        <v>736</v>
      </c>
      <c r="B194" s="58"/>
      <c r="C194" s="57" t="s">
        <v>108</v>
      </c>
      <c r="D194" s="57" t="s">
        <v>24</v>
      </c>
      <c r="E194" s="57" t="s">
        <v>712</v>
      </c>
      <c r="F194" s="57" t="s">
        <v>334</v>
      </c>
      <c r="G194" s="91"/>
      <c r="H194" s="91"/>
      <c r="I194" s="91"/>
      <c r="J194" s="91">
        <f>'прил.8'!J220</f>
        <v>20000</v>
      </c>
      <c r="K194" s="91">
        <f t="shared" si="21"/>
        <v>20000</v>
      </c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ht="16.5">
      <c r="A195" s="121" t="s">
        <v>198</v>
      </c>
      <c r="B195" s="58"/>
      <c r="C195" s="57" t="s">
        <v>108</v>
      </c>
      <c r="D195" s="57" t="s">
        <v>24</v>
      </c>
      <c r="E195" s="57" t="s">
        <v>486</v>
      </c>
      <c r="F195" s="57"/>
      <c r="G195" s="91">
        <f>SUM(G196:G197)</f>
        <v>11904.9</v>
      </c>
      <c r="H195" s="91">
        <f>SUM(H196:H197)</f>
        <v>2000</v>
      </c>
      <c r="I195" s="91">
        <f t="shared" si="20"/>
        <v>13904.9</v>
      </c>
      <c r="J195" s="91">
        <f>SUM(J196:J197)</f>
        <v>0</v>
      </c>
      <c r="K195" s="91">
        <f t="shared" si="21"/>
        <v>13904.9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16.5">
      <c r="A196" s="127" t="s">
        <v>736</v>
      </c>
      <c r="B196" s="58"/>
      <c r="C196" s="57" t="s">
        <v>108</v>
      </c>
      <c r="D196" s="57" t="s">
        <v>24</v>
      </c>
      <c r="E196" s="57" t="s">
        <v>486</v>
      </c>
      <c r="F196" s="57" t="s">
        <v>334</v>
      </c>
      <c r="G196" s="91">
        <f>'прил.8'!G222</f>
        <v>4629.9</v>
      </c>
      <c r="H196" s="91">
        <f>'прил.8'!H222</f>
        <v>0</v>
      </c>
      <c r="I196" s="91">
        <f t="shared" si="20"/>
        <v>4629.9</v>
      </c>
      <c r="J196" s="91">
        <f>'прил.8'!J222</f>
        <v>0</v>
      </c>
      <c r="K196" s="91">
        <f t="shared" si="21"/>
        <v>4629.9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ht="16.5">
      <c r="A197" s="123" t="s">
        <v>438</v>
      </c>
      <c r="B197" s="58"/>
      <c r="C197" s="57" t="s">
        <v>108</v>
      </c>
      <c r="D197" s="57" t="s">
        <v>24</v>
      </c>
      <c r="E197" s="57" t="s">
        <v>486</v>
      </c>
      <c r="F197" s="57" t="s">
        <v>277</v>
      </c>
      <c r="G197" s="91">
        <f>'прил.8'!G223+'прил.8'!G993</f>
        <v>7275</v>
      </c>
      <c r="H197" s="91">
        <f>'прил.8'!H223+'прил.8'!H993</f>
        <v>2000</v>
      </c>
      <c r="I197" s="91">
        <f t="shared" si="20"/>
        <v>9275</v>
      </c>
      <c r="J197" s="91">
        <f>'прил.8'!J223+'прил.8'!J993</f>
        <v>0</v>
      </c>
      <c r="K197" s="91">
        <f t="shared" si="21"/>
        <v>9275</v>
      </c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ht="32.25" customHeight="1">
      <c r="A198" s="121" t="s">
        <v>569</v>
      </c>
      <c r="B198" s="68">
        <v>803</v>
      </c>
      <c r="C198" s="57" t="s">
        <v>108</v>
      </c>
      <c r="D198" s="57" t="s">
        <v>24</v>
      </c>
      <c r="E198" s="57" t="s">
        <v>488</v>
      </c>
      <c r="F198" s="57"/>
      <c r="G198" s="91">
        <f>G199</f>
        <v>3834.2</v>
      </c>
      <c r="H198" s="91">
        <f>H199</f>
        <v>0</v>
      </c>
      <c r="I198" s="91">
        <f t="shared" si="20"/>
        <v>3834.2</v>
      </c>
      <c r="J198" s="91">
        <f>J199</f>
        <v>0</v>
      </c>
      <c r="K198" s="91">
        <f t="shared" si="21"/>
        <v>3834.2</v>
      </c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ht="16.5">
      <c r="A199" s="127" t="s">
        <v>736</v>
      </c>
      <c r="B199" s="68">
        <v>803</v>
      </c>
      <c r="C199" s="57" t="s">
        <v>108</v>
      </c>
      <c r="D199" s="57" t="s">
        <v>24</v>
      </c>
      <c r="E199" s="57" t="s">
        <v>488</v>
      </c>
      <c r="F199" s="57" t="s">
        <v>334</v>
      </c>
      <c r="G199" s="91">
        <f>'прил.8'!G225</f>
        <v>3834.2</v>
      </c>
      <c r="H199" s="91">
        <f>'прил.8'!H225</f>
        <v>0</v>
      </c>
      <c r="I199" s="91">
        <f t="shared" si="20"/>
        <v>3834.2</v>
      </c>
      <c r="J199" s="91">
        <f>'прил.8'!J225</f>
        <v>0</v>
      </c>
      <c r="K199" s="91">
        <f t="shared" si="21"/>
        <v>3834.2</v>
      </c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ht="35.25" customHeight="1" hidden="1">
      <c r="A200" s="121" t="s">
        <v>865</v>
      </c>
      <c r="B200" s="68">
        <v>803</v>
      </c>
      <c r="C200" s="57" t="s">
        <v>108</v>
      </c>
      <c r="D200" s="57" t="s">
        <v>24</v>
      </c>
      <c r="E200" s="57" t="s">
        <v>489</v>
      </c>
      <c r="F200" s="57"/>
      <c r="G200" s="91">
        <f>SUM(G201:G202)</f>
        <v>0</v>
      </c>
      <c r="H200" s="91">
        <f>SUM(H201:H202)</f>
        <v>0</v>
      </c>
      <c r="I200" s="91">
        <f t="shared" si="20"/>
        <v>0</v>
      </c>
      <c r="J200" s="91">
        <f>SUM(J201:J202)</f>
        <v>0</v>
      </c>
      <c r="K200" s="91">
        <f t="shared" si="21"/>
        <v>0</v>
      </c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ht="19.5" customHeight="1" hidden="1">
      <c r="A201" s="127" t="s">
        <v>657</v>
      </c>
      <c r="B201" s="68"/>
      <c r="C201" s="57" t="s">
        <v>108</v>
      </c>
      <c r="D201" s="57" t="s">
        <v>24</v>
      </c>
      <c r="E201" s="57" t="s">
        <v>489</v>
      </c>
      <c r="F201" s="57" t="s">
        <v>334</v>
      </c>
      <c r="G201" s="91">
        <f>'прил.8'!G227</f>
        <v>0</v>
      </c>
      <c r="H201" s="91">
        <f>'прил.8'!H227</f>
        <v>0</v>
      </c>
      <c r="I201" s="91">
        <f t="shared" si="20"/>
        <v>0</v>
      </c>
      <c r="J201" s="91">
        <f>'прил.8'!J227</f>
        <v>0</v>
      </c>
      <c r="K201" s="91">
        <f t="shared" si="21"/>
        <v>0</v>
      </c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ht="15.75" customHeight="1" hidden="1">
      <c r="A202" s="127" t="s">
        <v>866</v>
      </c>
      <c r="B202" s="68">
        <v>803</v>
      </c>
      <c r="C202" s="57" t="s">
        <v>108</v>
      </c>
      <c r="D202" s="57" t="s">
        <v>24</v>
      </c>
      <c r="E202" s="57" t="s">
        <v>489</v>
      </c>
      <c r="F202" s="57" t="s">
        <v>318</v>
      </c>
      <c r="G202" s="91">
        <f>'прил.8'!G228</f>
        <v>0</v>
      </c>
      <c r="H202" s="91">
        <f>'прил.8'!H228</f>
        <v>0</v>
      </c>
      <c r="I202" s="91">
        <f t="shared" si="20"/>
        <v>0</v>
      </c>
      <c r="J202" s="91">
        <f>'прил.8'!J228</f>
        <v>0</v>
      </c>
      <c r="K202" s="91">
        <f t="shared" si="21"/>
        <v>0</v>
      </c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ht="35.25" customHeight="1">
      <c r="A203" s="73" t="s">
        <v>319</v>
      </c>
      <c r="B203" s="68"/>
      <c r="C203" s="57" t="s">
        <v>108</v>
      </c>
      <c r="D203" s="57" t="s">
        <v>24</v>
      </c>
      <c r="E203" s="57" t="s">
        <v>489</v>
      </c>
      <c r="F203" s="57"/>
      <c r="G203" s="91"/>
      <c r="H203" s="91">
        <f>H204</f>
        <v>3000</v>
      </c>
      <c r="I203" s="91">
        <f t="shared" si="20"/>
        <v>3000</v>
      </c>
      <c r="J203" s="91">
        <f>J204</f>
        <v>0</v>
      </c>
      <c r="K203" s="91">
        <f t="shared" si="21"/>
        <v>3000</v>
      </c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ht="15.75" customHeight="1">
      <c r="A204" s="71" t="s">
        <v>733</v>
      </c>
      <c r="B204" s="68"/>
      <c r="C204" s="57" t="s">
        <v>108</v>
      </c>
      <c r="D204" s="57" t="s">
        <v>24</v>
      </c>
      <c r="E204" s="57" t="s">
        <v>489</v>
      </c>
      <c r="F204" s="57" t="s">
        <v>318</v>
      </c>
      <c r="G204" s="91"/>
      <c r="H204" s="91">
        <f>'прил.8'!H230</f>
        <v>3000</v>
      </c>
      <c r="I204" s="91">
        <f t="shared" si="20"/>
        <v>3000</v>
      </c>
      <c r="J204" s="91">
        <f>'прил.8'!J230</f>
        <v>0</v>
      </c>
      <c r="K204" s="91">
        <f t="shared" si="21"/>
        <v>3000</v>
      </c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ht="49.5" customHeight="1">
      <c r="A205" s="121" t="s">
        <v>540</v>
      </c>
      <c r="B205" s="68"/>
      <c r="C205" s="57" t="s">
        <v>108</v>
      </c>
      <c r="D205" s="57" t="s">
        <v>24</v>
      </c>
      <c r="E205" s="57" t="s">
        <v>541</v>
      </c>
      <c r="F205" s="57"/>
      <c r="G205" s="91">
        <f>G206</f>
        <v>10000</v>
      </c>
      <c r="H205" s="91">
        <f>H206</f>
        <v>0</v>
      </c>
      <c r="I205" s="91">
        <f t="shared" si="20"/>
        <v>10000</v>
      </c>
      <c r="J205" s="91">
        <f>J206</f>
        <v>0</v>
      </c>
      <c r="K205" s="91">
        <f t="shared" si="21"/>
        <v>10000</v>
      </c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ht="21.75" customHeight="1">
      <c r="A206" s="127" t="s">
        <v>736</v>
      </c>
      <c r="B206" s="68"/>
      <c r="C206" s="57" t="s">
        <v>108</v>
      </c>
      <c r="D206" s="57" t="s">
        <v>24</v>
      </c>
      <c r="E206" s="57" t="s">
        <v>541</v>
      </c>
      <c r="F206" s="57" t="s">
        <v>334</v>
      </c>
      <c r="G206" s="91">
        <f>'прил.8'!G232</f>
        <v>10000</v>
      </c>
      <c r="H206" s="91">
        <f>'прил.8'!H232</f>
        <v>0</v>
      </c>
      <c r="I206" s="91">
        <f t="shared" si="20"/>
        <v>10000</v>
      </c>
      <c r="J206" s="91">
        <f>'прил.8'!J232</f>
        <v>0</v>
      </c>
      <c r="K206" s="91">
        <f t="shared" si="21"/>
        <v>10000</v>
      </c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ht="21.75" customHeight="1">
      <c r="A207" s="146" t="s">
        <v>441</v>
      </c>
      <c r="B207" s="68"/>
      <c r="C207" s="57" t="s">
        <v>108</v>
      </c>
      <c r="D207" s="57" t="s">
        <v>24</v>
      </c>
      <c r="E207" s="67" t="s">
        <v>433</v>
      </c>
      <c r="F207" s="67"/>
      <c r="G207" s="91"/>
      <c r="H207" s="91"/>
      <c r="I207" s="91"/>
      <c r="J207" s="91">
        <f>J208+J211</f>
        <v>200</v>
      </c>
      <c r="K207" s="91">
        <f t="shared" si="21"/>
        <v>200</v>
      </c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ht="21" customHeight="1">
      <c r="A208" s="146" t="s">
        <v>470</v>
      </c>
      <c r="B208" s="68"/>
      <c r="C208" s="57" t="s">
        <v>108</v>
      </c>
      <c r="D208" s="57" t="s">
        <v>24</v>
      </c>
      <c r="E208" s="67" t="s">
        <v>434</v>
      </c>
      <c r="F208" s="67"/>
      <c r="G208" s="91"/>
      <c r="H208" s="91"/>
      <c r="I208" s="91"/>
      <c r="J208" s="91">
        <f>J209</f>
        <v>200</v>
      </c>
      <c r="K208" s="91">
        <f t="shared" si="21"/>
        <v>200</v>
      </c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ht="21" customHeight="1">
      <c r="A209" s="120" t="s">
        <v>524</v>
      </c>
      <c r="B209" s="68"/>
      <c r="C209" s="57" t="s">
        <v>108</v>
      </c>
      <c r="D209" s="57" t="s">
        <v>24</v>
      </c>
      <c r="E209" s="67" t="s">
        <v>445</v>
      </c>
      <c r="F209" s="67"/>
      <c r="G209" s="91"/>
      <c r="H209" s="91"/>
      <c r="I209" s="91"/>
      <c r="J209" s="91">
        <f>J210</f>
        <v>200</v>
      </c>
      <c r="K209" s="91">
        <f t="shared" si="21"/>
        <v>200</v>
      </c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ht="18" customHeight="1">
      <c r="A210" s="136" t="s">
        <v>227</v>
      </c>
      <c r="B210" s="68"/>
      <c r="C210" s="57" t="s">
        <v>108</v>
      </c>
      <c r="D210" s="57" t="s">
        <v>24</v>
      </c>
      <c r="E210" s="67" t="s">
        <v>445</v>
      </c>
      <c r="F210" s="67" t="s">
        <v>652</v>
      </c>
      <c r="G210" s="91"/>
      <c r="H210" s="91"/>
      <c r="I210" s="91"/>
      <c r="J210" s="91">
        <f>'прил.8'!J236</f>
        <v>200</v>
      </c>
      <c r="K210" s="91">
        <f t="shared" si="21"/>
        <v>200</v>
      </c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ht="18" customHeight="1" hidden="1">
      <c r="A211" s="159" t="s">
        <v>527</v>
      </c>
      <c r="B211" s="68"/>
      <c r="C211" s="67" t="s">
        <v>108</v>
      </c>
      <c r="D211" s="67" t="s">
        <v>24</v>
      </c>
      <c r="E211" s="67" t="s">
        <v>650</v>
      </c>
      <c r="F211" s="67"/>
      <c r="G211" s="91"/>
      <c r="H211" s="91"/>
      <c r="I211" s="91"/>
      <c r="J211" s="91">
        <f>J212</f>
        <v>0</v>
      </c>
      <c r="K211" s="91">
        <f t="shared" si="21"/>
        <v>0</v>
      </c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ht="34.5" customHeight="1" hidden="1">
      <c r="A212" s="136" t="s">
        <v>768</v>
      </c>
      <c r="B212" s="68"/>
      <c r="C212" s="67" t="s">
        <v>108</v>
      </c>
      <c r="D212" s="67" t="s">
        <v>24</v>
      </c>
      <c r="E212" s="67" t="s">
        <v>580</v>
      </c>
      <c r="F212" s="67"/>
      <c r="G212" s="91"/>
      <c r="H212" s="91"/>
      <c r="I212" s="91"/>
      <c r="J212" s="91">
        <f>J213</f>
        <v>0</v>
      </c>
      <c r="K212" s="91">
        <f t="shared" si="21"/>
        <v>0</v>
      </c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ht="18" customHeight="1" hidden="1">
      <c r="A213" s="135" t="s">
        <v>581</v>
      </c>
      <c r="B213" s="68"/>
      <c r="C213" s="67" t="s">
        <v>108</v>
      </c>
      <c r="D213" s="67" t="s">
        <v>24</v>
      </c>
      <c r="E213" s="67" t="s">
        <v>580</v>
      </c>
      <c r="F213" s="67" t="s">
        <v>334</v>
      </c>
      <c r="G213" s="91"/>
      <c r="H213" s="91"/>
      <c r="I213" s="91"/>
      <c r="J213" s="91">
        <f>'прил.8'!J239</f>
        <v>0</v>
      </c>
      <c r="K213" s="91">
        <f t="shared" si="21"/>
        <v>0</v>
      </c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ht="16.5">
      <c r="A214" s="136" t="s">
        <v>738</v>
      </c>
      <c r="B214" s="74"/>
      <c r="C214" s="67" t="s">
        <v>108</v>
      </c>
      <c r="D214" s="67" t="s">
        <v>25</v>
      </c>
      <c r="E214" s="67"/>
      <c r="F214" s="67"/>
      <c r="G214" s="91">
        <f>G215+G232+G235</f>
        <v>33500</v>
      </c>
      <c r="H214" s="91">
        <f>H215+H232+H235</f>
        <v>4400</v>
      </c>
      <c r="I214" s="91">
        <f t="shared" si="20"/>
        <v>37900</v>
      </c>
      <c r="J214" s="91">
        <f>J215+J232+J235</f>
        <v>-2500</v>
      </c>
      <c r="K214" s="91">
        <f t="shared" si="21"/>
        <v>35400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ht="33">
      <c r="A215" s="123" t="s">
        <v>730</v>
      </c>
      <c r="B215" s="68">
        <v>841</v>
      </c>
      <c r="C215" s="57" t="s">
        <v>108</v>
      </c>
      <c r="D215" s="57" t="s">
        <v>25</v>
      </c>
      <c r="E215" s="57" t="s">
        <v>483</v>
      </c>
      <c r="F215" s="57"/>
      <c r="G215" s="91">
        <f>G216+G219</f>
        <v>30000</v>
      </c>
      <c r="H215" s="91">
        <f>H216+H219</f>
        <v>4400</v>
      </c>
      <c r="I215" s="91">
        <f t="shared" si="20"/>
        <v>34400</v>
      </c>
      <c r="J215" s="91">
        <f>J216+J219</f>
        <v>1000</v>
      </c>
      <c r="K215" s="91">
        <f t="shared" si="21"/>
        <v>35400</v>
      </c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ht="51.75" customHeight="1" hidden="1">
      <c r="A216" s="123" t="s">
        <v>123</v>
      </c>
      <c r="B216" s="68">
        <v>841</v>
      </c>
      <c r="C216" s="57" t="s">
        <v>108</v>
      </c>
      <c r="D216" s="57" t="s">
        <v>25</v>
      </c>
      <c r="E216" s="57" t="s">
        <v>120</v>
      </c>
      <c r="F216" s="57"/>
      <c r="G216" s="91">
        <f aca="true" t="shared" si="26" ref="G216:J217">G217</f>
        <v>0</v>
      </c>
      <c r="H216" s="91">
        <f t="shared" si="26"/>
        <v>0</v>
      </c>
      <c r="I216" s="91">
        <f t="shared" si="20"/>
        <v>0</v>
      </c>
      <c r="J216" s="91">
        <f t="shared" si="26"/>
        <v>0</v>
      </c>
      <c r="K216" s="91">
        <f t="shared" si="21"/>
        <v>0</v>
      </c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ht="33" hidden="1">
      <c r="A217" s="123" t="s">
        <v>484</v>
      </c>
      <c r="B217" s="68">
        <v>841</v>
      </c>
      <c r="C217" s="57" t="s">
        <v>108</v>
      </c>
      <c r="D217" s="57" t="s">
        <v>25</v>
      </c>
      <c r="E217" s="57" t="s">
        <v>485</v>
      </c>
      <c r="F217" s="57"/>
      <c r="G217" s="91">
        <f t="shared" si="26"/>
        <v>0</v>
      </c>
      <c r="H217" s="91">
        <f t="shared" si="26"/>
        <v>0</v>
      </c>
      <c r="I217" s="91">
        <f t="shared" si="20"/>
        <v>0</v>
      </c>
      <c r="J217" s="91">
        <f t="shared" si="26"/>
        <v>0</v>
      </c>
      <c r="K217" s="91">
        <f t="shared" si="21"/>
        <v>0</v>
      </c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ht="33" hidden="1">
      <c r="A218" s="127" t="s">
        <v>704</v>
      </c>
      <c r="B218" s="68">
        <v>841</v>
      </c>
      <c r="C218" s="57" t="s">
        <v>108</v>
      </c>
      <c r="D218" s="57" t="s">
        <v>25</v>
      </c>
      <c r="E218" s="57" t="s">
        <v>298</v>
      </c>
      <c r="F218" s="57" t="s">
        <v>130</v>
      </c>
      <c r="G218" s="91">
        <f>'прил.8'!G1075</f>
        <v>0</v>
      </c>
      <c r="H218" s="91">
        <f>'прил.8'!H1075</f>
        <v>0</v>
      </c>
      <c r="I218" s="91">
        <f t="shared" si="20"/>
        <v>0</v>
      </c>
      <c r="J218" s="91">
        <f>'прил.8'!J1075</f>
        <v>0</v>
      </c>
      <c r="K218" s="91">
        <f t="shared" si="21"/>
        <v>0</v>
      </c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ht="16.5">
      <c r="A219" s="123" t="s">
        <v>844</v>
      </c>
      <c r="B219" s="68">
        <v>841</v>
      </c>
      <c r="C219" s="57" t="s">
        <v>108</v>
      </c>
      <c r="D219" s="57" t="s">
        <v>25</v>
      </c>
      <c r="E219" s="57" t="s">
        <v>33</v>
      </c>
      <c r="F219" s="57"/>
      <c r="G219" s="91">
        <f>G220+G222+G224+G226+G228+G230</f>
        <v>30000</v>
      </c>
      <c r="H219" s="91">
        <f>H220+H222+H224+H226+H228+H230</f>
        <v>4400</v>
      </c>
      <c r="I219" s="91">
        <f t="shared" si="20"/>
        <v>34400</v>
      </c>
      <c r="J219" s="91">
        <f>J220+J222+J224+J226+J228+J230</f>
        <v>1000</v>
      </c>
      <c r="K219" s="91">
        <f t="shared" si="21"/>
        <v>35400</v>
      </c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ht="16.5">
      <c r="A220" s="123" t="s">
        <v>739</v>
      </c>
      <c r="B220" s="68">
        <v>841</v>
      </c>
      <c r="C220" s="57" t="s">
        <v>108</v>
      </c>
      <c r="D220" s="57" t="s">
        <v>25</v>
      </c>
      <c r="E220" s="57" t="s">
        <v>36</v>
      </c>
      <c r="F220" s="57"/>
      <c r="G220" s="91">
        <f>G221</f>
        <v>10000</v>
      </c>
      <c r="H220" s="91">
        <f>H221</f>
        <v>-1500</v>
      </c>
      <c r="I220" s="91">
        <f t="shared" si="20"/>
        <v>8500</v>
      </c>
      <c r="J220" s="91">
        <f>J221</f>
        <v>1000</v>
      </c>
      <c r="K220" s="91">
        <f t="shared" si="21"/>
        <v>9500</v>
      </c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ht="16.5">
      <c r="A221" s="127" t="s">
        <v>271</v>
      </c>
      <c r="B221" s="68">
        <v>841</v>
      </c>
      <c r="C221" s="57" t="s">
        <v>108</v>
      </c>
      <c r="D221" s="57" t="s">
        <v>25</v>
      </c>
      <c r="E221" s="57" t="s">
        <v>36</v>
      </c>
      <c r="F221" s="57" t="s">
        <v>49</v>
      </c>
      <c r="G221" s="91">
        <f>'прил.8'!G1078</f>
        <v>10000</v>
      </c>
      <c r="H221" s="91">
        <f>'прил.8'!H1078</f>
        <v>-1500</v>
      </c>
      <c r="I221" s="91">
        <f t="shared" si="20"/>
        <v>8500</v>
      </c>
      <c r="J221" s="91">
        <f>'прил.8'!J1078</f>
        <v>1000</v>
      </c>
      <c r="K221" s="91">
        <f t="shared" si="21"/>
        <v>9500</v>
      </c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ht="18" customHeight="1" hidden="1">
      <c r="A222" s="127" t="s">
        <v>846</v>
      </c>
      <c r="B222" s="68">
        <v>841</v>
      </c>
      <c r="C222" s="57" t="s">
        <v>108</v>
      </c>
      <c r="D222" s="57" t="s">
        <v>25</v>
      </c>
      <c r="E222" s="57" t="s">
        <v>37</v>
      </c>
      <c r="F222" s="57"/>
      <c r="G222" s="91">
        <f>G223</f>
        <v>0</v>
      </c>
      <c r="H222" s="91">
        <f>H223</f>
        <v>0</v>
      </c>
      <c r="I222" s="91">
        <f t="shared" si="20"/>
        <v>0</v>
      </c>
      <c r="J222" s="91">
        <f>J223</f>
        <v>0</v>
      </c>
      <c r="K222" s="91">
        <f t="shared" si="21"/>
        <v>0</v>
      </c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ht="16.5" hidden="1">
      <c r="A223" s="127" t="s">
        <v>271</v>
      </c>
      <c r="B223" s="68">
        <v>841</v>
      </c>
      <c r="C223" s="57" t="s">
        <v>108</v>
      </c>
      <c r="D223" s="57" t="s">
        <v>25</v>
      </c>
      <c r="E223" s="57" t="s">
        <v>37</v>
      </c>
      <c r="F223" s="57" t="s">
        <v>49</v>
      </c>
      <c r="G223" s="91">
        <f>'прил.8'!G1082</f>
        <v>0</v>
      </c>
      <c r="H223" s="91">
        <f>'прил.8'!H1082</f>
        <v>0</v>
      </c>
      <c r="I223" s="91">
        <f t="shared" si="20"/>
        <v>0</v>
      </c>
      <c r="J223" s="91">
        <f>'прил.8'!J1082</f>
        <v>0</v>
      </c>
      <c r="K223" s="91">
        <f t="shared" si="21"/>
        <v>0</v>
      </c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ht="33" hidden="1">
      <c r="A224" s="127" t="s">
        <v>847</v>
      </c>
      <c r="B224" s="68">
        <v>841</v>
      </c>
      <c r="C224" s="57" t="s">
        <v>108</v>
      </c>
      <c r="D224" s="57" t="s">
        <v>25</v>
      </c>
      <c r="E224" s="57" t="s">
        <v>324</v>
      </c>
      <c r="F224" s="57"/>
      <c r="G224" s="96">
        <f>G225</f>
        <v>0</v>
      </c>
      <c r="H224" s="96">
        <f>H225</f>
        <v>0</v>
      </c>
      <c r="I224" s="91">
        <f t="shared" si="20"/>
        <v>0</v>
      </c>
      <c r="J224" s="96">
        <f>J225</f>
        <v>0</v>
      </c>
      <c r="K224" s="91">
        <f t="shared" si="21"/>
        <v>0</v>
      </c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ht="16.5" hidden="1">
      <c r="A225" s="127" t="s">
        <v>271</v>
      </c>
      <c r="B225" s="68">
        <v>841</v>
      </c>
      <c r="C225" s="57" t="s">
        <v>108</v>
      </c>
      <c r="D225" s="57" t="s">
        <v>25</v>
      </c>
      <c r="E225" s="57" t="s">
        <v>324</v>
      </c>
      <c r="F225" s="57" t="s">
        <v>49</v>
      </c>
      <c r="G225" s="96">
        <f>'прил.8'!G1084</f>
        <v>0</v>
      </c>
      <c r="H225" s="96">
        <f>'прил.8'!H1084</f>
        <v>0</v>
      </c>
      <c r="I225" s="91">
        <f t="shared" si="20"/>
        <v>0</v>
      </c>
      <c r="J225" s="96">
        <f>'прил.8'!J1084</f>
        <v>0</v>
      </c>
      <c r="K225" s="91">
        <f t="shared" si="21"/>
        <v>0</v>
      </c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ht="16.5">
      <c r="A226" s="127" t="s">
        <v>349</v>
      </c>
      <c r="B226" s="68">
        <v>841</v>
      </c>
      <c r="C226" s="57" t="s">
        <v>108</v>
      </c>
      <c r="D226" s="57" t="s">
        <v>25</v>
      </c>
      <c r="E226" s="57" t="s">
        <v>328</v>
      </c>
      <c r="F226" s="57"/>
      <c r="G226" s="96">
        <f>G227</f>
        <v>20000</v>
      </c>
      <c r="H226" s="96">
        <f>H227</f>
        <v>-5000</v>
      </c>
      <c r="I226" s="91">
        <f t="shared" si="20"/>
        <v>15000</v>
      </c>
      <c r="J226" s="96">
        <f>J227</f>
        <v>0</v>
      </c>
      <c r="K226" s="91">
        <f t="shared" si="21"/>
        <v>15000</v>
      </c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ht="16.5">
      <c r="A227" s="127" t="s">
        <v>271</v>
      </c>
      <c r="B227" s="68">
        <v>841</v>
      </c>
      <c r="C227" s="57" t="s">
        <v>108</v>
      </c>
      <c r="D227" s="57" t="s">
        <v>25</v>
      </c>
      <c r="E227" s="57" t="s">
        <v>328</v>
      </c>
      <c r="F227" s="57" t="s">
        <v>49</v>
      </c>
      <c r="G227" s="96">
        <f>'прил.8'!G1086</f>
        <v>20000</v>
      </c>
      <c r="H227" s="96">
        <f>'прил.8'!H1086</f>
        <v>-5000</v>
      </c>
      <c r="I227" s="91">
        <f t="shared" si="20"/>
        <v>15000</v>
      </c>
      <c r="J227" s="96">
        <f>'прил.8'!J1086</f>
        <v>0</v>
      </c>
      <c r="K227" s="91">
        <f t="shared" si="21"/>
        <v>15000</v>
      </c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s="22" customFormat="1" ht="33">
      <c r="A228" s="127" t="s">
        <v>384</v>
      </c>
      <c r="B228" s="68"/>
      <c r="C228" s="57" t="s">
        <v>108</v>
      </c>
      <c r="D228" s="57" t="s">
        <v>25</v>
      </c>
      <c r="E228" s="57" t="s">
        <v>385</v>
      </c>
      <c r="F228" s="57"/>
      <c r="G228" s="96">
        <f>G229</f>
        <v>0</v>
      </c>
      <c r="H228" s="96">
        <f>H229</f>
        <v>10900</v>
      </c>
      <c r="I228" s="91">
        <f aca="true" t="shared" si="27" ref="I228:I297">G228+H228</f>
        <v>10900</v>
      </c>
      <c r="J228" s="96">
        <f>J229</f>
        <v>0</v>
      </c>
      <c r="K228" s="91">
        <f aca="true" t="shared" si="28" ref="K228:K297">I228+J228</f>
        <v>10900</v>
      </c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s="23" customFormat="1" ht="16.5">
      <c r="A229" s="127" t="s">
        <v>271</v>
      </c>
      <c r="B229" s="68"/>
      <c r="C229" s="57" t="s">
        <v>108</v>
      </c>
      <c r="D229" s="57" t="s">
        <v>25</v>
      </c>
      <c r="E229" s="57" t="s">
        <v>385</v>
      </c>
      <c r="F229" s="57" t="s">
        <v>49</v>
      </c>
      <c r="G229" s="96">
        <f>'прил.8'!G1088</f>
        <v>0</v>
      </c>
      <c r="H229" s="96">
        <f>'прил.8'!H1088</f>
        <v>10900</v>
      </c>
      <c r="I229" s="91">
        <f t="shared" si="27"/>
        <v>10900</v>
      </c>
      <c r="J229" s="96">
        <f>'прил.8'!J1088</f>
        <v>0</v>
      </c>
      <c r="K229" s="91">
        <f t="shared" si="28"/>
        <v>10900</v>
      </c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11" s="13" customFormat="1" ht="16.5" hidden="1">
      <c r="A230" s="127" t="s">
        <v>423</v>
      </c>
      <c r="B230" s="68"/>
      <c r="C230" s="57" t="s">
        <v>108</v>
      </c>
      <c r="D230" s="57" t="s">
        <v>25</v>
      </c>
      <c r="E230" s="57" t="s">
        <v>347</v>
      </c>
      <c r="F230" s="57"/>
      <c r="G230" s="96">
        <f>G231</f>
        <v>0</v>
      </c>
      <c r="H230" s="96">
        <f>H231</f>
        <v>0</v>
      </c>
      <c r="I230" s="91">
        <f t="shared" si="27"/>
        <v>0</v>
      </c>
      <c r="J230" s="96">
        <f>J231</f>
        <v>0</v>
      </c>
      <c r="K230" s="91">
        <f t="shared" si="28"/>
        <v>0</v>
      </c>
    </row>
    <row r="231" spans="1:11" s="13" customFormat="1" ht="16.5" hidden="1">
      <c r="A231" s="127" t="s">
        <v>271</v>
      </c>
      <c r="B231" s="68"/>
      <c r="C231" s="57" t="s">
        <v>108</v>
      </c>
      <c r="D231" s="57" t="s">
        <v>25</v>
      </c>
      <c r="E231" s="57" t="s">
        <v>347</v>
      </c>
      <c r="F231" s="57" t="s">
        <v>49</v>
      </c>
      <c r="G231" s="96"/>
      <c r="H231" s="96"/>
      <c r="I231" s="91">
        <f t="shared" si="27"/>
        <v>0</v>
      </c>
      <c r="J231" s="96"/>
      <c r="K231" s="91">
        <f t="shared" si="28"/>
        <v>0</v>
      </c>
    </row>
    <row r="232" spans="1:11" s="13" customFormat="1" ht="16.5" hidden="1">
      <c r="A232" s="121" t="s">
        <v>740</v>
      </c>
      <c r="B232" s="68"/>
      <c r="C232" s="57" t="s">
        <v>108</v>
      </c>
      <c r="D232" s="57" t="s">
        <v>25</v>
      </c>
      <c r="E232" s="57" t="s">
        <v>280</v>
      </c>
      <c r="F232" s="57"/>
      <c r="G232" s="96">
        <f aca="true" t="shared" si="29" ref="G232:J233">G233</f>
        <v>3500</v>
      </c>
      <c r="H232" s="96">
        <f t="shared" si="29"/>
        <v>0</v>
      </c>
      <c r="I232" s="91">
        <f t="shared" si="27"/>
        <v>3500</v>
      </c>
      <c r="J232" s="96">
        <f t="shared" si="29"/>
        <v>-3500</v>
      </c>
      <c r="K232" s="91">
        <f t="shared" si="28"/>
        <v>0</v>
      </c>
    </row>
    <row r="233" spans="1:11" s="13" customFormat="1" ht="33" hidden="1">
      <c r="A233" s="121" t="s">
        <v>147</v>
      </c>
      <c r="B233" s="68"/>
      <c r="C233" s="57" t="s">
        <v>108</v>
      </c>
      <c r="D233" s="57" t="s">
        <v>25</v>
      </c>
      <c r="E233" s="57" t="s">
        <v>281</v>
      </c>
      <c r="F233" s="57"/>
      <c r="G233" s="96">
        <f t="shared" si="29"/>
        <v>3500</v>
      </c>
      <c r="H233" s="96">
        <f t="shared" si="29"/>
        <v>0</v>
      </c>
      <c r="I233" s="91">
        <f t="shared" si="27"/>
        <v>3500</v>
      </c>
      <c r="J233" s="96">
        <f t="shared" si="29"/>
        <v>-3500</v>
      </c>
      <c r="K233" s="91">
        <f t="shared" si="28"/>
        <v>0</v>
      </c>
    </row>
    <row r="234" spans="1:11" s="13" customFormat="1" ht="16.5" hidden="1">
      <c r="A234" s="127" t="s">
        <v>736</v>
      </c>
      <c r="B234" s="68"/>
      <c r="C234" s="57" t="s">
        <v>108</v>
      </c>
      <c r="D234" s="57" t="s">
        <v>25</v>
      </c>
      <c r="E234" s="57" t="s">
        <v>281</v>
      </c>
      <c r="F234" s="57" t="s">
        <v>334</v>
      </c>
      <c r="G234" s="96">
        <f>'прил.8'!G244</f>
        <v>3500</v>
      </c>
      <c r="H234" s="96">
        <f>'прил.8'!H244</f>
        <v>0</v>
      </c>
      <c r="I234" s="91">
        <f t="shared" si="27"/>
        <v>3500</v>
      </c>
      <c r="J234" s="96">
        <f>'прил.8'!J244</f>
        <v>-3500</v>
      </c>
      <c r="K234" s="91">
        <f t="shared" si="28"/>
        <v>0</v>
      </c>
    </row>
    <row r="235" spans="1:11" s="13" customFormat="1" ht="16.5" hidden="1">
      <c r="A235" s="130" t="s">
        <v>367</v>
      </c>
      <c r="B235" s="68"/>
      <c r="C235" s="57" t="s">
        <v>108</v>
      </c>
      <c r="D235" s="57" t="s">
        <v>25</v>
      </c>
      <c r="E235" s="57" t="s">
        <v>471</v>
      </c>
      <c r="F235" s="57"/>
      <c r="G235" s="96">
        <f aca="true" t="shared" si="30" ref="G235:J236">G236</f>
        <v>0</v>
      </c>
      <c r="H235" s="96">
        <f t="shared" si="30"/>
        <v>0</v>
      </c>
      <c r="I235" s="91">
        <f t="shared" si="27"/>
        <v>0</v>
      </c>
      <c r="J235" s="96">
        <f t="shared" si="30"/>
        <v>0</v>
      </c>
      <c r="K235" s="91">
        <f t="shared" si="28"/>
        <v>0</v>
      </c>
    </row>
    <row r="236" spans="1:11" s="13" customFormat="1" ht="66" hidden="1">
      <c r="A236" s="127" t="s">
        <v>552</v>
      </c>
      <c r="B236" s="68"/>
      <c r="C236" s="57" t="s">
        <v>108</v>
      </c>
      <c r="D236" s="57" t="s">
        <v>25</v>
      </c>
      <c r="E236" s="57" t="s">
        <v>551</v>
      </c>
      <c r="F236" s="57"/>
      <c r="G236" s="96">
        <f t="shared" si="30"/>
        <v>0</v>
      </c>
      <c r="H236" s="96">
        <f t="shared" si="30"/>
        <v>0</v>
      </c>
      <c r="I236" s="91">
        <f t="shared" si="27"/>
        <v>0</v>
      </c>
      <c r="J236" s="96">
        <f t="shared" si="30"/>
        <v>0</v>
      </c>
      <c r="K236" s="91">
        <f t="shared" si="28"/>
        <v>0</v>
      </c>
    </row>
    <row r="237" spans="1:11" s="13" customFormat="1" ht="16.5" hidden="1">
      <c r="A237" s="123" t="s">
        <v>438</v>
      </c>
      <c r="B237" s="68"/>
      <c r="C237" s="57" t="s">
        <v>108</v>
      </c>
      <c r="D237" s="57" t="s">
        <v>25</v>
      </c>
      <c r="E237" s="57" t="s">
        <v>551</v>
      </c>
      <c r="F237" s="57" t="s">
        <v>277</v>
      </c>
      <c r="G237" s="96">
        <f>'прил.8'!G247</f>
        <v>0</v>
      </c>
      <c r="H237" s="96">
        <f>'прил.8'!H247</f>
        <v>0</v>
      </c>
      <c r="I237" s="91">
        <f t="shared" si="27"/>
        <v>0</v>
      </c>
      <c r="J237" s="96">
        <f>'прил.8'!J247</f>
        <v>0</v>
      </c>
      <c r="K237" s="91">
        <f t="shared" si="28"/>
        <v>0</v>
      </c>
    </row>
    <row r="238" spans="1:23" ht="16.5">
      <c r="A238" s="135" t="s">
        <v>741</v>
      </c>
      <c r="B238" s="75"/>
      <c r="C238" s="57" t="s">
        <v>108</v>
      </c>
      <c r="D238" s="57" t="s">
        <v>26</v>
      </c>
      <c r="E238" s="57"/>
      <c r="F238" s="57"/>
      <c r="G238" s="91">
        <f>G239+G259+G264</f>
        <v>1123171.9</v>
      </c>
      <c r="H238" s="91">
        <f>H239+H259+H264</f>
        <v>-43799.200000000004</v>
      </c>
      <c r="I238" s="91">
        <f t="shared" si="27"/>
        <v>1079372.7</v>
      </c>
      <c r="J238" s="91">
        <f>J239+J259+J264+J279</f>
        <v>87377.3</v>
      </c>
      <c r="K238" s="91">
        <f t="shared" si="28"/>
        <v>1166750</v>
      </c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ht="33">
      <c r="A239" s="123" t="s">
        <v>730</v>
      </c>
      <c r="B239" s="68">
        <v>841</v>
      </c>
      <c r="C239" s="57" t="s">
        <v>108</v>
      </c>
      <c r="D239" s="57" t="s">
        <v>26</v>
      </c>
      <c r="E239" s="57" t="s">
        <v>483</v>
      </c>
      <c r="F239" s="57"/>
      <c r="G239" s="91">
        <f>G240+G246</f>
        <v>410638</v>
      </c>
      <c r="H239" s="91">
        <f>H240+H246</f>
        <v>-27002.800000000003</v>
      </c>
      <c r="I239" s="91">
        <f t="shared" si="27"/>
        <v>383635.2</v>
      </c>
      <c r="J239" s="91">
        <f>J240+J246</f>
        <v>-33775</v>
      </c>
      <c r="K239" s="91">
        <f t="shared" si="28"/>
        <v>349860.2</v>
      </c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ht="53.25" customHeight="1" hidden="1">
      <c r="A240" s="123" t="s">
        <v>123</v>
      </c>
      <c r="B240" s="68">
        <v>841</v>
      </c>
      <c r="C240" s="57" t="s">
        <v>108</v>
      </c>
      <c r="D240" s="57" t="s">
        <v>26</v>
      </c>
      <c r="E240" s="57" t="s">
        <v>120</v>
      </c>
      <c r="F240" s="57"/>
      <c r="G240" s="91">
        <f>G241</f>
        <v>0</v>
      </c>
      <c r="H240" s="91">
        <f>H241</f>
        <v>0</v>
      </c>
      <c r="I240" s="91">
        <f t="shared" si="27"/>
        <v>0</v>
      </c>
      <c r="J240" s="91">
        <f>J241</f>
        <v>0</v>
      </c>
      <c r="K240" s="91">
        <f t="shared" si="28"/>
        <v>0</v>
      </c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ht="33" hidden="1">
      <c r="A241" s="123" t="s">
        <v>484</v>
      </c>
      <c r="B241" s="68">
        <v>841</v>
      </c>
      <c r="C241" s="57" t="s">
        <v>108</v>
      </c>
      <c r="D241" s="57" t="s">
        <v>26</v>
      </c>
      <c r="E241" s="57" t="s">
        <v>485</v>
      </c>
      <c r="F241" s="57"/>
      <c r="G241" s="91">
        <f>SUM(G242:G245)</f>
        <v>0</v>
      </c>
      <c r="H241" s="91">
        <f>SUM(H242:H245)</f>
        <v>0</v>
      </c>
      <c r="I241" s="91">
        <f t="shared" si="27"/>
        <v>0</v>
      </c>
      <c r="J241" s="91">
        <f>SUM(J242:J245)</f>
        <v>0</v>
      </c>
      <c r="K241" s="91">
        <f t="shared" si="28"/>
        <v>0</v>
      </c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ht="33" hidden="1">
      <c r="A242" s="123" t="s">
        <v>860</v>
      </c>
      <c r="B242" s="68">
        <v>841</v>
      </c>
      <c r="C242" s="57" t="s">
        <v>108</v>
      </c>
      <c r="D242" s="57" t="s">
        <v>26</v>
      </c>
      <c r="E242" s="57" t="s">
        <v>485</v>
      </c>
      <c r="F242" s="57" t="s">
        <v>131</v>
      </c>
      <c r="G242" s="97">
        <f>'прил.8'!G1093</f>
        <v>0</v>
      </c>
      <c r="H242" s="97">
        <f>'прил.8'!H1093</f>
        <v>0</v>
      </c>
      <c r="I242" s="91">
        <f t="shared" si="27"/>
        <v>0</v>
      </c>
      <c r="J242" s="97">
        <f>'прил.8'!J1093</f>
        <v>0</v>
      </c>
      <c r="K242" s="91">
        <f t="shared" si="28"/>
        <v>0</v>
      </c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ht="33" hidden="1">
      <c r="A243" s="123" t="s">
        <v>676</v>
      </c>
      <c r="B243" s="68">
        <v>841</v>
      </c>
      <c r="C243" s="57" t="s">
        <v>108</v>
      </c>
      <c r="D243" s="57" t="s">
        <v>26</v>
      </c>
      <c r="E243" s="57" t="s">
        <v>485</v>
      </c>
      <c r="F243" s="57" t="s">
        <v>132</v>
      </c>
      <c r="G243" s="97">
        <f>'прил.8'!G1094</f>
        <v>0</v>
      </c>
      <c r="H243" s="97">
        <f>'прил.8'!H1094</f>
        <v>0</v>
      </c>
      <c r="I243" s="91">
        <f t="shared" si="27"/>
        <v>0</v>
      </c>
      <c r="J243" s="97">
        <f>'прил.8'!J1094</f>
        <v>0</v>
      </c>
      <c r="K243" s="91">
        <f t="shared" si="28"/>
        <v>0</v>
      </c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ht="33" hidden="1">
      <c r="A244" s="123" t="s">
        <v>861</v>
      </c>
      <c r="B244" s="68">
        <v>841</v>
      </c>
      <c r="C244" s="57" t="s">
        <v>108</v>
      </c>
      <c r="D244" s="57" t="s">
        <v>26</v>
      </c>
      <c r="E244" s="57" t="s">
        <v>485</v>
      </c>
      <c r="F244" s="57" t="s">
        <v>133</v>
      </c>
      <c r="G244" s="97">
        <f>'прил.8'!G1095</f>
        <v>0</v>
      </c>
      <c r="H244" s="97">
        <f>'прил.8'!H1095</f>
        <v>0</v>
      </c>
      <c r="I244" s="91">
        <f t="shared" si="27"/>
        <v>0</v>
      </c>
      <c r="J244" s="97">
        <f>'прил.8'!J1095</f>
        <v>0</v>
      </c>
      <c r="K244" s="91">
        <f t="shared" si="28"/>
        <v>0</v>
      </c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ht="32.25" customHeight="1" hidden="1">
      <c r="A245" s="123" t="s">
        <v>862</v>
      </c>
      <c r="B245" s="68">
        <v>841</v>
      </c>
      <c r="C245" s="57" t="s">
        <v>108</v>
      </c>
      <c r="D245" s="57" t="s">
        <v>26</v>
      </c>
      <c r="E245" s="57" t="s">
        <v>485</v>
      </c>
      <c r="F245" s="57" t="s">
        <v>134</v>
      </c>
      <c r="G245" s="97">
        <f>'прил.8'!G1096</f>
        <v>0</v>
      </c>
      <c r="H245" s="97">
        <f>'прил.8'!H1096</f>
        <v>0</v>
      </c>
      <c r="I245" s="91">
        <f t="shared" si="27"/>
        <v>0</v>
      </c>
      <c r="J245" s="97">
        <f>'прил.8'!J1096</f>
        <v>0</v>
      </c>
      <c r="K245" s="91">
        <f t="shared" si="28"/>
        <v>0</v>
      </c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s="27" customFormat="1" ht="16.5">
      <c r="A246" s="123" t="s">
        <v>844</v>
      </c>
      <c r="B246" s="68">
        <v>841</v>
      </c>
      <c r="C246" s="57" t="s">
        <v>108</v>
      </c>
      <c r="D246" s="57" t="s">
        <v>26</v>
      </c>
      <c r="E246" s="57" t="s">
        <v>33</v>
      </c>
      <c r="F246" s="57"/>
      <c r="G246" s="96">
        <f>G247+G249+G251+G253+G255+G257</f>
        <v>410638</v>
      </c>
      <c r="H246" s="96">
        <f>H247+H249+H251+H253+H255+H257</f>
        <v>-27002.800000000003</v>
      </c>
      <c r="I246" s="91">
        <f t="shared" si="27"/>
        <v>383635.2</v>
      </c>
      <c r="J246" s="96">
        <f>J247+J249+J251+J253+J255+J257</f>
        <v>-33775</v>
      </c>
      <c r="K246" s="91">
        <f t="shared" si="28"/>
        <v>349860.2</v>
      </c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s="27" customFormat="1" ht="16.5">
      <c r="A247" s="123" t="s">
        <v>739</v>
      </c>
      <c r="B247" s="68">
        <v>841</v>
      </c>
      <c r="C247" s="57" t="s">
        <v>108</v>
      </c>
      <c r="D247" s="57" t="s">
        <v>26</v>
      </c>
      <c r="E247" s="57" t="s">
        <v>36</v>
      </c>
      <c r="F247" s="57"/>
      <c r="G247" s="96">
        <f>G248</f>
        <v>266651.3</v>
      </c>
      <c r="H247" s="96">
        <f>H248</f>
        <v>24897.2</v>
      </c>
      <c r="I247" s="91">
        <f t="shared" si="27"/>
        <v>291548.5</v>
      </c>
      <c r="J247" s="96">
        <f>J248</f>
        <v>-675</v>
      </c>
      <c r="K247" s="91">
        <f t="shared" si="28"/>
        <v>290873.5</v>
      </c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ht="16.5">
      <c r="A248" s="127" t="s">
        <v>271</v>
      </c>
      <c r="B248" s="68">
        <v>841</v>
      </c>
      <c r="C248" s="57" t="s">
        <v>108</v>
      </c>
      <c r="D248" s="57" t="s">
        <v>26</v>
      </c>
      <c r="E248" s="57" t="s">
        <v>36</v>
      </c>
      <c r="F248" s="57" t="s">
        <v>49</v>
      </c>
      <c r="G248" s="96">
        <f>'прил.8'!G1099</f>
        <v>266651.3</v>
      </c>
      <c r="H248" s="96">
        <f>'прил.8'!H1099</f>
        <v>24897.2</v>
      </c>
      <c r="I248" s="91">
        <f t="shared" si="27"/>
        <v>291548.5</v>
      </c>
      <c r="J248" s="96">
        <f>'прил.8'!J1099</f>
        <v>-675</v>
      </c>
      <c r="K248" s="91">
        <f t="shared" si="28"/>
        <v>290873.5</v>
      </c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ht="35.25" customHeight="1" hidden="1">
      <c r="A249" s="123" t="s">
        <v>742</v>
      </c>
      <c r="B249" s="68">
        <v>841</v>
      </c>
      <c r="C249" s="57" t="s">
        <v>108</v>
      </c>
      <c r="D249" s="57" t="s">
        <v>26</v>
      </c>
      <c r="E249" s="57" t="s">
        <v>39</v>
      </c>
      <c r="F249" s="57"/>
      <c r="G249" s="96">
        <f>G250</f>
        <v>100000</v>
      </c>
      <c r="H249" s="96">
        <f>H250</f>
        <v>-66900</v>
      </c>
      <c r="I249" s="91">
        <f t="shared" si="27"/>
        <v>33100</v>
      </c>
      <c r="J249" s="96">
        <f>J250</f>
        <v>-33100</v>
      </c>
      <c r="K249" s="91">
        <f t="shared" si="28"/>
        <v>0</v>
      </c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ht="16.5" hidden="1">
      <c r="A250" s="127" t="s">
        <v>271</v>
      </c>
      <c r="B250" s="68">
        <v>841</v>
      </c>
      <c r="C250" s="57" t="s">
        <v>108</v>
      </c>
      <c r="D250" s="57" t="s">
        <v>26</v>
      </c>
      <c r="E250" s="57" t="s">
        <v>39</v>
      </c>
      <c r="F250" s="57" t="s">
        <v>49</v>
      </c>
      <c r="G250" s="96">
        <f>'прил.8'!G1101</f>
        <v>100000</v>
      </c>
      <c r="H250" s="96">
        <f>'прил.8'!H1101</f>
        <v>-66900</v>
      </c>
      <c r="I250" s="91">
        <f t="shared" si="27"/>
        <v>33100</v>
      </c>
      <c r="J250" s="96">
        <f>'прил.8'!J1101</f>
        <v>-33100</v>
      </c>
      <c r="K250" s="91">
        <f t="shared" si="28"/>
        <v>0</v>
      </c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ht="16.5" hidden="1">
      <c r="A251" s="127" t="s">
        <v>376</v>
      </c>
      <c r="B251" s="68">
        <v>841</v>
      </c>
      <c r="C251" s="57" t="s">
        <v>108</v>
      </c>
      <c r="D251" s="57" t="s">
        <v>26</v>
      </c>
      <c r="E251" s="57" t="s">
        <v>40</v>
      </c>
      <c r="F251" s="57"/>
      <c r="G251" s="96">
        <f>G252</f>
        <v>0</v>
      </c>
      <c r="H251" s="96">
        <f>H252</f>
        <v>0</v>
      </c>
      <c r="I251" s="91">
        <f t="shared" si="27"/>
        <v>0</v>
      </c>
      <c r="J251" s="96">
        <f>J252</f>
        <v>0</v>
      </c>
      <c r="K251" s="91">
        <f t="shared" si="28"/>
        <v>0</v>
      </c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ht="16.5" hidden="1">
      <c r="A252" s="127" t="s">
        <v>271</v>
      </c>
      <c r="B252" s="68">
        <v>841</v>
      </c>
      <c r="C252" s="57" t="s">
        <v>108</v>
      </c>
      <c r="D252" s="57" t="s">
        <v>26</v>
      </c>
      <c r="E252" s="57" t="s">
        <v>40</v>
      </c>
      <c r="F252" s="57" t="s">
        <v>49</v>
      </c>
      <c r="G252" s="96">
        <f>'прил.8'!G1103</f>
        <v>0</v>
      </c>
      <c r="H252" s="96">
        <f>'прил.8'!H1103</f>
        <v>0</v>
      </c>
      <c r="I252" s="91">
        <f t="shared" si="27"/>
        <v>0</v>
      </c>
      <c r="J252" s="96">
        <f>'прил.8'!J1103</f>
        <v>0</v>
      </c>
      <c r="K252" s="91">
        <f t="shared" si="28"/>
        <v>0</v>
      </c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ht="17.25" customHeight="1" hidden="1">
      <c r="A253" s="127" t="s">
        <v>403</v>
      </c>
      <c r="B253" s="68"/>
      <c r="C253" s="57" t="s">
        <v>108</v>
      </c>
      <c r="D253" s="57" t="s">
        <v>26</v>
      </c>
      <c r="E253" s="57" t="s">
        <v>386</v>
      </c>
      <c r="F253" s="57"/>
      <c r="G253" s="91">
        <f>G254</f>
        <v>0</v>
      </c>
      <c r="H253" s="91">
        <f>H254</f>
        <v>0</v>
      </c>
      <c r="I253" s="91">
        <f t="shared" si="27"/>
        <v>0</v>
      </c>
      <c r="J253" s="91">
        <f>J254</f>
        <v>0</v>
      </c>
      <c r="K253" s="91">
        <f t="shared" si="28"/>
        <v>0</v>
      </c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ht="16.5" hidden="1">
      <c r="A254" s="127" t="s">
        <v>492</v>
      </c>
      <c r="B254" s="68"/>
      <c r="C254" s="57" t="s">
        <v>108</v>
      </c>
      <c r="D254" s="57" t="s">
        <v>26</v>
      </c>
      <c r="E254" s="57" t="s">
        <v>386</v>
      </c>
      <c r="F254" s="57" t="s">
        <v>49</v>
      </c>
      <c r="G254" s="91">
        <f>'прил.8'!G1105</f>
        <v>0</v>
      </c>
      <c r="H254" s="91">
        <f>'прил.8'!H1105</f>
        <v>0</v>
      </c>
      <c r="I254" s="91">
        <f t="shared" si="27"/>
        <v>0</v>
      </c>
      <c r="J254" s="91">
        <f>'прил.8'!J1105</f>
        <v>0</v>
      </c>
      <c r="K254" s="91">
        <f t="shared" si="28"/>
        <v>0</v>
      </c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ht="16.5">
      <c r="A255" s="127" t="s">
        <v>762</v>
      </c>
      <c r="B255" s="68"/>
      <c r="C255" s="57" t="s">
        <v>108</v>
      </c>
      <c r="D255" s="57" t="s">
        <v>26</v>
      </c>
      <c r="E255" s="57" t="s">
        <v>204</v>
      </c>
      <c r="F255" s="57"/>
      <c r="G255" s="91">
        <f>G256</f>
        <v>12986.7</v>
      </c>
      <c r="H255" s="91">
        <f>H256</f>
        <v>15000</v>
      </c>
      <c r="I255" s="91">
        <f t="shared" si="27"/>
        <v>27986.7</v>
      </c>
      <c r="J255" s="91">
        <f>J256</f>
        <v>0</v>
      </c>
      <c r="K255" s="91">
        <f t="shared" si="28"/>
        <v>27986.7</v>
      </c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ht="16.5">
      <c r="A256" s="127" t="s">
        <v>763</v>
      </c>
      <c r="B256" s="68"/>
      <c r="C256" s="57" t="s">
        <v>108</v>
      </c>
      <c r="D256" s="57" t="s">
        <v>26</v>
      </c>
      <c r="E256" s="57" t="s">
        <v>204</v>
      </c>
      <c r="F256" s="57" t="s">
        <v>49</v>
      </c>
      <c r="G256" s="91">
        <f>'прил.8'!G1107</f>
        <v>12986.7</v>
      </c>
      <c r="H256" s="91">
        <f>'прил.8'!H1107</f>
        <v>15000</v>
      </c>
      <c r="I256" s="91">
        <f t="shared" si="27"/>
        <v>27986.7</v>
      </c>
      <c r="J256" s="91">
        <f>'прил.8'!J1107</f>
        <v>0</v>
      </c>
      <c r="K256" s="91">
        <f t="shared" si="28"/>
        <v>27986.7</v>
      </c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ht="33">
      <c r="A257" s="123" t="s">
        <v>425</v>
      </c>
      <c r="B257" s="68"/>
      <c r="C257" s="57" t="s">
        <v>108</v>
      </c>
      <c r="D257" s="57" t="s">
        <v>26</v>
      </c>
      <c r="E257" s="57" t="s">
        <v>639</v>
      </c>
      <c r="F257" s="57"/>
      <c r="G257" s="91">
        <f>G258</f>
        <v>31000</v>
      </c>
      <c r="H257" s="91">
        <f>H258</f>
        <v>0</v>
      </c>
      <c r="I257" s="91">
        <f t="shared" si="27"/>
        <v>31000</v>
      </c>
      <c r="J257" s="91">
        <f>J258</f>
        <v>0</v>
      </c>
      <c r="K257" s="91">
        <f t="shared" si="28"/>
        <v>31000</v>
      </c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ht="16.5">
      <c r="A258" s="127" t="s">
        <v>763</v>
      </c>
      <c r="B258" s="68"/>
      <c r="C258" s="57" t="s">
        <v>108</v>
      </c>
      <c r="D258" s="57" t="s">
        <v>26</v>
      </c>
      <c r="E258" s="57" t="s">
        <v>639</v>
      </c>
      <c r="F258" s="57" t="s">
        <v>49</v>
      </c>
      <c r="G258" s="91">
        <f>'прил.8'!G1109</f>
        <v>31000</v>
      </c>
      <c r="H258" s="91">
        <f>'прил.8'!H1109</f>
        <v>0</v>
      </c>
      <c r="I258" s="91">
        <f t="shared" si="27"/>
        <v>31000</v>
      </c>
      <c r="J258" s="91">
        <f>'прил.8'!J1109</f>
        <v>0</v>
      </c>
      <c r="K258" s="91">
        <f t="shared" si="28"/>
        <v>31000</v>
      </c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ht="16.5">
      <c r="A259" s="121" t="s">
        <v>470</v>
      </c>
      <c r="B259" s="68"/>
      <c r="C259" s="57" t="s">
        <v>108</v>
      </c>
      <c r="D259" s="57" t="s">
        <v>26</v>
      </c>
      <c r="E259" s="57" t="s">
        <v>471</v>
      </c>
      <c r="F259" s="57"/>
      <c r="G259" s="91">
        <f aca="true" t="shared" si="31" ref="G259:J260">G260</f>
        <v>154724.3</v>
      </c>
      <c r="H259" s="91">
        <f t="shared" si="31"/>
        <v>0</v>
      </c>
      <c r="I259" s="91">
        <f t="shared" si="27"/>
        <v>154724.3</v>
      </c>
      <c r="J259" s="91">
        <f>J260+J262</f>
        <v>100050</v>
      </c>
      <c r="K259" s="91">
        <f t="shared" si="28"/>
        <v>254774.3</v>
      </c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ht="50.25" customHeight="1">
      <c r="A260" s="121" t="s">
        <v>506</v>
      </c>
      <c r="B260" s="68"/>
      <c r="C260" s="62" t="s">
        <v>108</v>
      </c>
      <c r="D260" s="57" t="s">
        <v>26</v>
      </c>
      <c r="E260" s="57" t="s">
        <v>288</v>
      </c>
      <c r="F260" s="57"/>
      <c r="G260" s="91">
        <f t="shared" si="31"/>
        <v>154724.3</v>
      </c>
      <c r="H260" s="91">
        <f t="shared" si="31"/>
        <v>0</v>
      </c>
      <c r="I260" s="91">
        <f t="shared" si="27"/>
        <v>154724.3</v>
      </c>
      <c r="J260" s="91">
        <f t="shared" si="31"/>
        <v>100000</v>
      </c>
      <c r="K260" s="91">
        <f t="shared" si="28"/>
        <v>254724.3</v>
      </c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ht="33">
      <c r="A261" s="121" t="s">
        <v>269</v>
      </c>
      <c r="B261" s="68"/>
      <c r="C261" s="62" t="s">
        <v>108</v>
      </c>
      <c r="D261" s="57" t="s">
        <v>26</v>
      </c>
      <c r="E261" s="57" t="s">
        <v>288</v>
      </c>
      <c r="F261" s="57" t="s">
        <v>131</v>
      </c>
      <c r="G261" s="91">
        <f>'прил.8'!G1112</f>
        <v>154724.3</v>
      </c>
      <c r="H261" s="91">
        <f>'прил.8'!H1112</f>
        <v>0</v>
      </c>
      <c r="I261" s="91">
        <f t="shared" si="27"/>
        <v>154724.3</v>
      </c>
      <c r="J261" s="91">
        <f>'прил.8'!J1112</f>
        <v>100000</v>
      </c>
      <c r="K261" s="91">
        <f t="shared" si="28"/>
        <v>254724.3</v>
      </c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ht="33">
      <c r="A262" s="120" t="s">
        <v>518</v>
      </c>
      <c r="B262" s="68"/>
      <c r="C262" s="62" t="s">
        <v>108</v>
      </c>
      <c r="D262" s="57" t="s">
        <v>26</v>
      </c>
      <c r="E262" s="57" t="s">
        <v>553</v>
      </c>
      <c r="F262" s="57"/>
      <c r="G262" s="91"/>
      <c r="H262" s="91"/>
      <c r="I262" s="91"/>
      <c r="J262" s="91">
        <f>J263</f>
        <v>50</v>
      </c>
      <c r="K262" s="91">
        <f t="shared" si="28"/>
        <v>50</v>
      </c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ht="16.5">
      <c r="A263" s="136" t="s">
        <v>227</v>
      </c>
      <c r="B263" s="68"/>
      <c r="C263" s="62" t="s">
        <v>108</v>
      </c>
      <c r="D263" s="57" t="s">
        <v>26</v>
      </c>
      <c r="E263" s="57" t="s">
        <v>553</v>
      </c>
      <c r="F263" s="57" t="s">
        <v>652</v>
      </c>
      <c r="G263" s="91"/>
      <c r="H263" s="91"/>
      <c r="I263" s="91"/>
      <c r="J263" s="91">
        <f>'прил.8'!J251</f>
        <v>50</v>
      </c>
      <c r="K263" s="91">
        <f t="shared" si="28"/>
        <v>50</v>
      </c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ht="16.5">
      <c r="A264" s="121" t="s">
        <v>493</v>
      </c>
      <c r="B264" s="68">
        <v>803</v>
      </c>
      <c r="C264" s="57" t="s">
        <v>108</v>
      </c>
      <c r="D264" s="57" t="s">
        <v>26</v>
      </c>
      <c r="E264" s="57" t="s">
        <v>494</v>
      </c>
      <c r="F264" s="57"/>
      <c r="G264" s="91">
        <f>G265+G268+G271+G273+G275+G277</f>
        <v>557809.6</v>
      </c>
      <c r="H264" s="91">
        <f>H265+H268+H271+H273+H275+H277</f>
        <v>-16796.4</v>
      </c>
      <c r="I264" s="91">
        <f t="shared" si="27"/>
        <v>541013.2</v>
      </c>
      <c r="J264" s="91">
        <f>J265+J268+J271+J273+J275+J277</f>
        <v>21057.500000000004</v>
      </c>
      <c r="K264" s="91">
        <f t="shared" si="28"/>
        <v>562070.7</v>
      </c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ht="16.5">
      <c r="A265" s="121" t="s">
        <v>587</v>
      </c>
      <c r="B265" s="68">
        <v>803</v>
      </c>
      <c r="C265" s="57" t="s">
        <v>108</v>
      </c>
      <c r="D265" s="57" t="s">
        <v>26</v>
      </c>
      <c r="E265" s="57" t="s">
        <v>495</v>
      </c>
      <c r="F265" s="57"/>
      <c r="G265" s="91">
        <f>SUM(G266:G267)</f>
        <v>53995.2</v>
      </c>
      <c r="H265" s="91">
        <f>SUM(H266:H267)</f>
        <v>4073.6</v>
      </c>
      <c r="I265" s="91">
        <f t="shared" si="27"/>
        <v>58068.799999999996</v>
      </c>
      <c r="J265" s="91">
        <f>SUM(J266:J267)</f>
        <v>-10.3</v>
      </c>
      <c r="K265" s="91">
        <f t="shared" si="28"/>
        <v>58058.49999999999</v>
      </c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ht="16.5">
      <c r="A266" s="127" t="s">
        <v>736</v>
      </c>
      <c r="B266" s="68"/>
      <c r="C266" s="57" t="s">
        <v>108</v>
      </c>
      <c r="D266" s="57" t="s">
        <v>26</v>
      </c>
      <c r="E266" s="57" t="s">
        <v>495</v>
      </c>
      <c r="F266" s="57" t="s">
        <v>334</v>
      </c>
      <c r="G266" s="91">
        <f>'прил.8'!G254</f>
        <v>24360.7</v>
      </c>
      <c r="H266" s="91">
        <f>'прил.8'!H254</f>
        <v>4073.6</v>
      </c>
      <c r="I266" s="91">
        <f t="shared" si="27"/>
        <v>28434.3</v>
      </c>
      <c r="J266" s="91">
        <f>'прил.8'!J254</f>
        <v>0</v>
      </c>
      <c r="K266" s="91">
        <f t="shared" si="28"/>
        <v>28434.3</v>
      </c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ht="16.5">
      <c r="A267" s="123" t="s">
        <v>438</v>
      </c>
      <c r="B267" s="68">
        <v>803</v>
      </c>
      <c r="C267" s="57" t="s">
        <v>108</v>
      </c>
      <c r="D267" s="57" t="s">
        <v>26</v>
      </c>
      <c r="E267" s="57" t="s">
        <v>495</v>
      </c>
      <c r="F267" s="57" t="s">
        <v>277</v>
      </c>
      <c r="G267" s="91">
        <f>'прил.8'!G255</f>
        <v>29634.5</v>
      </c>
      <c r="H267" s="91">
        <f>'прил.8'!H255</f>
        <v>0</v>
      </c>
      <c r="I267" s="91">
        <f t="shared" si="27"/>
        <v>29634.5</v>
      </c>
      <c r="J267" s="91">
        <f>'прил.8'!J255</f>
        <v>-10.3</v>
      </c>
      <c r="K267" s="91">
        <f t="shared" si="28"/>
        <v>29624.2</v>
      </c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ht="34.5" customHeight="1">
      <c r="A268" s="127" t="s">
        <v>496</v>
      </c>
      <c r="B268" s="68">
        <v>803</v>
      </c>
      <c r="C268" s="57" t="s">
        <v>108</v>
      </c>
      <c r="D268" s="57" t="s">
        <v>26</v>
      </c>
      <c r="E268" s="57" t="s">
        <v>497</v>
      </c>
      <c r="F268" s="57"/>
      <c r="G268" s="91">
        <f>G269+G270</f>
        <v>486087.89999999997</v>
      </c>
      <c r="H268" s="91">
        <f>H269+H270</f>
        <v>-20870</v>
      </c>
      <c r="I268" s="91">
        <f t="shared" si="27"/>
        <v>465217.89999999997</v>
      </c>
      <c r="J268" s="91">
        <f>J269+J270</f>
        <v>21075.4</v>
      </c>
      <c r="K268" s="91">
        <f t="shared" si="28"/>
        <v>486293.3</v>
      </c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ht="19.5" customHeight="1">
      <c r="A269" s="127" t="s">
        <v>736</v>
      </c>
      <c r="B269" s="68"/>
      <c r="C269" s="57" t="s">
        <v>108</v>
      </c>
      <c r="D269" s="57" t="s">
        <v>26</v>
      </c>
      <c r="E269" s="57" t="s">
        <v>497</v>
      </c>
      <c r="F269" s="57" t="s">
        <v>334</v>
      </c>
      <c r="G269" s="91">
        <f>'прил.8'!G257</f>
        <v>2493.6</v>
      </c>
      <c r="H269" s="91">
        <f>'прил.8'!H257</f>
        <v>0</v>
      </c>
      <c r="I269" s="91">
        <f t="shared" si="27"/>
        <v>2493.6</v>
      </c>
      <c r="J269" s="91">
        <f>'прил.8'!J257</f>
        <v>0</v>
      </c>
      <c r="K269" s="91">
        <f t="shared" si="28"/>
        <v>2493.6</v>
      </c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ht="19.5" customHeight="1">
      <c r="A270" s="123" t="s">
        <v>438</v>
      </c>
      <c r="B270" s="68">
        <v>803</v>
      </c>
      <c r="C270" s="57" t="s">
        <v>108</v>
      </c>
      <c r="D270" s="57" t="s">
        <v>26</v>
      </c>
      <c r="E270" s="57" t="s">
        <v>497</v>
      </c>
      <c r="F270" s="57" t="s">
        <v>277</v>
      </c>
      <c r="G270" s="97">
        <f>'прил.8'!G258+'прил.8'!G997</f>
        <v>483594.3</v>
      </c>
      <c r="H270" s="97">
        <f>'прил.8'!H258+'прил.8'!H997</f>
        <v>-20870</v>
      </c>
      <c r="I270" s="91">
        <f t="shared" si="27"/>
        <v>462724.3</v>
      </c>
      <c r="J270" s="97">
        <f>'прил.8'!J258+'прил.8'!J997</f>
        <v>21075.4</v>
      </c>
      <c r="K270" s="91">
        <f t="shared" si="28"/>
        <v>483799.7</v>
      </c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ht="16.5">
      <c r="A271" s="127" t="s">
        <v>498</v>
      </c>
      <c r="B271" s="68">
        <v>803</v>
      </c>
      <c r="C271" s="57" t="s">
        <v>108</v>
      </c>
      <c r="D271" s="57" t="s">
        <v>26</v>
      </c>
      <c r="E271" s="57" t="s">
        <v>499</v>
      </c>
      <c r="F271" s="57"/>
      <c r="G271" s="91">
        <f>G272</f>
        <v>15026.4</v>
      </c>
      <c r="H271" s="91">
        <f>H272</f>
        <v>0</v>
      </c>
      <c r="I271" s="91">
        <f t="shared" si="27"/>
        <v>15026.4</v>
      </c>
      <c r="J271" s="91">
        <f>J272</f>
        <v>0</v>
      </c>
      <c r="K271" s="91">
        <f t="shared" si="28"/>
        <v>15026.4</v>
      </c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ht="16.5">
      <c r="A272" s="123" t="s">
        <v>438</v>
      </c>
      <c r="B272" s="68">
        <v>803</v>
      </c>
      <c r="C272" s="57" t="s">
        <v>108</v>
      </c>
      <c r="D272" s="57" t="s">
        <v>26</v>
      </c>
      <c r="E272" s="57" t="s">
        <v>499</v>
      </c>
      <c r="F272" s="57" t="s">
        <v>277</v>
      </c>
      <c r="G272" s="91">
        <f>'прил.8'!G260</f>
        <v>15026.4</v>
      </c>
      <c r="H272" s="91">
        <f>'прил.8'!H260</f>
        <v>0</v>
      </c>
      <c r="I272" s="91">
        <f t="shared" si="27"/>
        <v>15026.4</v>
      </c>
      <c r="J272" s="91">
        <f>'прил.8'!J260</f>
        <v>0</v>
      </c>
      <c r="K272" s="91">
        <f t="shared" si="28"/>
        <v>15026.4</v>
      </c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ht="17.25" customHeight="1">
      <c r="A273" s="127" t="s">
        <v>624</v>
      </c>
      <c r="B273" s="68">
        <v>803</v>
      </c>
      <c r="C273" s="57" t="s">
        <v>108</v>
      </c>
      <c r="D273" s="57" t="s">
        <v>26</v>
      </c>
      <c r="E273" s="57" t="s">
        <v>500</v>
      </c>
      <c r="F273" s="57"/>
      <c r="G273" s="96">
        <f>G274</f>
        <v>2700.1</v>
      </c>
      <c r="H273" s="96">
        <f>H274</f>
        <v>0</v>
      </c>
      <c r="I273" s="91">
        <f t="shared" si="27"/>
        <v>2700.1</v>
      </c>
      <c r="J273" s="96">
        <f>J274</f>
        <v>-7.6</v>
      </c>
      <c r="K273" s="91">
        <f t="shared" si="28"/>
        <v>2692.5</v>
      </c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ht="17.25" customHeight="1">
      <c r="A274" s="123" t="s">
        <v>438</v>
      </c>
      <c r="B274" s="68">
        <v>803</v>
      </c>
      <c r="C274" s="57" t="s">
        <v>108</v>
      </c>
      <c r="D274" s="57" t="s">
        <v>26</v>
      </c>
      <c r="E274" s="57" t="s">
        <v>500</v>
      </c>
      <c r="F274" s="57" t="s">
        <v>277</v>
      </c>
      <c r="G274" s="96">
        <f>'прил.8'!G262+'прил.8'!G999</f>
        <v>2700.1</v>
      </c>
      <c r="H274" s="96">
        <f>'прил.8'!H262+'прил.8'!H999</f>
        <v>0</v>
      </c>
      <c r="I274" s="91">
        <f t="shared" si="27"/>
        <v>2700.1</v>
      </c>
      <c r="J274" s="96">
        <f>'прил.8'!J262+'прил.8'!J999</f>
        <v>-7.6</v>
      </c>
      <c r="K274" s="91">
        <f t="shared" si="28"/>
        <v>2692.5</v>
      </c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ht="17.25" customHeight="1" hidden="1">
      <c r="A275" s="127" t="s">
        <v>586</v>
      </c>
      <c r="B275" s="68">
        <v>803</v>
      </c>
      <c r="C275" s="57" t="s">
        <v>108</v>
      </c>
      <c r="D275" s="57" t="s">
        <v>26</v>
      </c>
      <c r="E275" s="57" t="s">
        <v>501</v>
      </c>
      <c r="F275" s="57"/>
      <c r="G275" s="91">
        <f>G276</f>
        <v>0</v>
      </c>
      <c r="H275" s="91">
        <f>H276</f>
        <v>0</v>
      </c>
      <c r="I275" s="91">
        <f t="shared" si="27"/>
        <v>0</v>
      </c>
      <c r="J275" s="91">
        <f>J276</f>
        <v>0</v>
      </c>
      <c r="K275" s="91">
        <f t="shared" si="28"/>
        <v>0</v>
      </c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ht="17.25" customHeight="1" hidden="1">
      <c r="A276" s="123" t="s">
        <v>438</v>
      </c>
      <c r="B276" s="68">
        <v>803</v>
      </c>
      <c r="C276" s="57" t="s">
        <v>108</v>
      </c>
      <c r="D276" s="57" t="s">
        <v>26</v>
      </c>
      <c r="E276" s="57" t="s">
        <v>501</v>
      </c>
      <c r="F276" s="57" t="s">
        <v>277</v>
      </c>
      <c r="G276" s="91">
        <f>'прил.8'!G264</f>
        <v>0</v>
      </c>
      <c r="H276" s="91">
        <f>'прил.8'!H264</f>
        <v>0</v>
      </c>
      <c r="I276" s="91">
        <f t="shared" si="27"/>
        <v>0</v>
      </c>
      <c r="J276" s="91">
        <f>'прил.8'!J264</f>
        <v>0</v>
      </c>
      <c r="K276" s="91">
        <f t="shared" si="28"/>
        <v>0</v>
      </c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ht="17.25" customHeight="1" hidden="1">
      <c r="A277" s="130" t="s">
        <v>289</v>
      </c>
      <c r="B277" s="68"/>
      <c r="C277" s="57" t="s">
        <v>108</v>
      </c>
      <c r="D277" s="57" t="s">
        <v>26</v>
      </c>
      <c r="E277" s="57" t="s">
        <v>501</v>
      </c>
      <c r="F277" s="57"/>
      <c r="G277" s="91">
        <f>G278</f>
        <v>0</v>
      </c>
      <c r="H277" s="91">
        <f>H278</f>
        <v>0</v>
      </c>
      <c r="I277" s="91">
        <f t="shared" si="27"/>
        <v>0</v>
      </c>
      <c r="J277" s="91">
        <f>J278</f>
        <v>0</v>
      </c>
      <c r="K277" s="91">
        <f t="shared" si="28"/>
        <v>0</v>
      </c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ht="17.25" customHeight="1" hidden="1">
      <c r="A278" s="130" t="s">
        <v>392</v>
      </c>
      <c r="B278" s="68"/>
      <c r="C278" s="57" t="s">
        <v>108</v>
      </c>
      <c r="D278" s="57" t="s">
        <v>26</v>
      </c>
      <c r="E278" s="57" t="s">
        <v>501</v>
      </c>
      <c r="F278" s="57" t="s">
        <v>334</v>
      </c>
      <c r="G278" s="91">
        <f>'прил.8'!G264</f>
        <v>0</v>
      </c>
      <c r="H278" s="91">
        <f>'прил.8'!H264</f>
        <v>0</v>
      </c>
      <c r="I278" s="91">
        <f t="shared" si="27"/>
        <v>0</v>
      </c>
      <c r="J278" s="91">
        <f>'прил.8'!J264</f>
        <v>0</v>
      </c>
      <c r="K278" s="91">
        <f t="shared" si="28"/>
        <v>0</v>
      </c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ht="17.25" customHeight="1">
      <c r="A279" s="146" t="s">
        <v>441</v>
      </c>
      <c r="B279" s="68"/>
      <c r="C279" s="57" t="s">
        <v>108</v>
      </c>
      <c r="D279" s="57" t="s">
        <v>26</v>
      </c>
      <c r="E279" s="67" t="s">
        <v>433</v>
      </c>
      <c r="F279" s="67"/>
      <c r="G279" s="91"/>
      <c r="H279" s="91"/>
      <c r="I279" s="91"/>
      <c r="J279" s="91">
        <f>J280</f>
        <v>44.8</v>
      </c>
      <c r="K279" s="91">
        <f t="shared" si="28"/>
        <v>44.8</v>
      </c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ht="17.25" customHeight="1">
      <c r="A280" s="146" t="s">
        <v>470</v>
      </c>
      <c r="B280" s="68"/>
      <c r="C280" s="57" t="s">
        <v>108</v>
      </c>
      <c r="D280" s="57" t="s">
        <v>26</v>
      </c>
      <c r="E280" s="67" t="s">
        <v>434</v>
      </c>
      <c r="F280" s="67"/>
      <c r="G280" s="91"/>
      <c r="H280" s="91"/>
      <c r="I280" s="91"/>
      <c r="J280" s="91">
        <f>J281</f>
        <v>44.8</v>
      </c>
      <c r="K280" s="91">
        <f t="shared" si="28"/>
        <v>44.8</v>
      </c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ht="17.25" customHeight="1">
      <c r="A281" s="120" t="s">
        <v>524</v>
      </c>
      <c r="B281" s="68"/>
      <c r="C281" s="57" t="s">
        <v>108</v>
      </c>
      <c r="D281" s="57" t="s">
        <v>26</v>
      </c>
      <c r="E281" s="67" t="s">
        <v>445</v>
      </c>
      <c r="F281" s="67"/>
      <c r="G281" s="91"/>
      <c r="H281" s="91"/>
      <c r="I281" s="91"/>
      <c r="J281" s="91">
        <f>J282</f>
        <v>44.8</v>
      </c>
      <c r="K281" s="91">
        <f t="shared" si="28"/>
        <v>44.8</v>
      </c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ht="17.25" customHeight="1">
      <c r="A282" s="136" t="s">
        <v>227</v>
      </c>
      <c r="B282" s="68"/>
      <c r="C282" s="57" t="s">
        <v>108</v>
      </c>
      <c r="D282" s="57" t="s">
        <v>26</v>
      </c>
      <c r="E282" s="67" t="s">
        <v>445</v>
      </c>
      <c r="F282" s="67" t="s">
        <v>652</v>
      </c>
      <c r="G282" s="91"/>
      <c r="H282" s="91"/>
      <c r="I282" s="91"/>
      <c r="J282" s="91">
        <f>'прил.8'!J268</f>
        <v>44.8</v>
      </c>
      <c r="K282" s="91">
        <f t="shared" si="28"/>
        <v>44.8</v>
      </c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ht="16.5">
      <c r="A283" s="121" t="s">
        <v>505</v>
      </c>
      <c r="B283" s="68">
        <v>803</v>
      </c>
      <c r="C283" s="57" t="s">
        <v>108</v>
      </c>
      <c r="D283" s="57" t="s">
        <v>108</v>
      </c>
      <c r="E283" s="57"/>
      <c r="F283" s="57"/>
      <c r="G283" s="91">
        <f aca="true" t="shared" si="32" ref="G283:J285">G284</f>
        <v>15972.699999999999</v>
      </c>
      <c r="H283" s="91">
        <f t="shared" si="32"/>
        <v>4</v>
      </c>
      <c r="I283" s="91">
        <f t="shared" si="27"/>
        <v>15976.699999999999</v>
      </c>
      <c r="J283" s="91">
        <f t="shared" si="32"/>
        <v>1625</v>
      </c>
      <c r="K283" s="91">
        <f t="shared" si="28"/>
        <v>17601.699999999997</v>
      </c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ht="51" customHeight="1">
      <c r="A284" s="123" t="s">
        <v>93</v>
      </c>
      <c r="B284" s="68">
        <v>803</v>
      </c>
      <c r="C284" s="57" t="s">
        <v>108</v>
      </c>
      <c r="D284" s="57" t="s">
        <v>108</v>
      </c>
      <c r="E284" s="57" t="s">
        <v>94</v>
      </c>
      <c r="F284" s="57"/>
      <c r="G284" s="91">
        <f t="shared" si="32"/>
        <v>15972.699999999999</v>
      </c>
      <c r="H284" s="91">
        <f t="shared" si="32"/>
        <v>4</v>
      </c>
      <c r="I284" s="91">
        <f t="shared" si="27"/>
        <v>15976.699999999999</v>
      </c>
      <c r="J284" s="91">
        <f t="shared" si="32"/>
        <v>1625</v>
      </c>
      <c r="K284" s="91">
        <f t="shared" si="28"/>
        <v>17601.699999999997</v>
      </c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ht="16.5">
      <c r="A285" s="123" t="s">
        <v>673</v>
      </c>
      <c r="B285" s="68">
        <v>803</v>
      </c>
      <c r="C285" s="57" t="s">
        <v>108</v>
      </c>
      <c r="D285" s="57" t="s">
        <v>108</v>
      </c>
      <c r="E285" s="57" t="s">
        <v>96</v>
      </c>
      <c r="F285" s="57"/>
      <c r="G285" s="91">
        <f t="shared" si="32"/>
        <v>15972.699999999999</v>
      </c>
      <c r="H285" s="91">
        <f t="shared" si="32"/>
        <v>4</v>
      </c>
      <c r="I285" s="91">
        <f t="shared" si="27"/>
        <v>15976.699999999999</v>
      </c>
      <c r="J285" s="91">
        <f t="shared" si="32"/>
        <v>1625</v>
      </c>
      <c r="K285" s="91">
        <f t="shared" si="28"/>
        <v>17601.699999999997</v>
      </c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ht="16.5">
      <c r="A286" s="123" t="s">
        <v>438</v>
      </c>
      <c r="B286" s="68">
        <v>803</v>
      </c>
      <c r="C286" s="57" t="s">
        <v>108</v>
      </c>
      <c r="D286" s="57" t="s">
        <v>108</v>
      </c>
      <c r="E286" s="57" t="s">
        <v>96</v>
      </c>
      <c r="F286" s="57" t="s">
        <v>277</v>
      </c>
      <c r="G286" s="91">
        <f>'прил.8'!G272</f>
        <v>15972.699999999999</v>
      </c>
      <c r="H286" s="91">
        <f>'прил.8'!H272</f>
        <v>4</v>
      </c>
      <c r="I286" s="91">
        <f t="shared" si="27"/>
        <v>15976.699999999999</v>
      </c>
      <c r="J286" s="91">
        <f>'прил.8'!J272</f>
        <v>1625</v>
      </c>
      <c r="K286" s="91">
        <f t="shared" si="28"/>
        <v>17601.699999999997</v>
      </c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ht="16.5">
      <c r="A287" s="121" t="s">
        <v>202</v>
      </c>
      <c r="B287" s="58"/>
      <c r="C287" s="57" t="s">
        <v>28</v>
      </c>
      <c r="D287" s="57"/>
      <c r="E287" s="57"/>
      <c r="F287" s="57"/>
      <c r="G287" s="91">
        <f>G292+G288</f>
        <v>18767.2</v>
      </c>
      <c r="H287" s="91">
        <f>H292+H288</f>
        <v>-2988.1</v>
      </c>
      <c r="I287" s="91">
        <f t="shared" si="27"/>
        <v>15779.1</v>
      </c>
      <c r="J287" s="91">
        <f>J292+J288</f>
        <v>928</v>
      </c>
      <c r="K287" s="91">
        <f t="shared" si="28"/>
        <v>16707.1</v>
      </c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ht="16.5">
      <c r="A288" s="131" t="s">
        <v>764</v>
      </c>
      <c r="B288" s="58"/>
      <c r="C288" s="57" t="s">
        <v>28</v>
      </c>
      <c r="D288" s="57" t="s">
        <v>26</v>
      </c>
      <c r="E288" s="57"/>
      <c r="F288" s="57"/>
      <c r="G288" s="91">
        <f aca="true" t="shared" si="33" ref="G288:J290">G289</f>
        <v>2018.4</v>
      </c>
      <c r="H288" s="91">
        <f t="shared" si="33"/>
        <v>0</v>
      </c>
      <c r="I288" s="91">
        <f t="shared" si="27"/>
        <v>2018.4</v>
      </c>
      <c r="J288" s="91">
        <f t="shared" si="33"/>
        <v>0</v>
      </c>
      <c r="K288" s="91">
        <f t="shared" si="28"/>
        <v>2018.4</v>
      </c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ht="16.5">
      <c r="A289" s="131" t="s">
        <v>718</v>
      </c>
      <c r="B289" s="58"/>
      <c r="C289" s="57" t="s">
        <v>28</v>
      </c>
      <c r="D289" s="57" t="s">
        <v>26</v>
      </c>
      <c r="E289" s="57" t="s">
        <v>80</v>
      </c>
      <c r="F289" s="57"/>
      <c r="G289" s="91">
        <f t="shared" si="33"/>
        <v>2018.4</v>
      </c>
      <c r="H289" s="91">
        <f t="shared" si="33"/>
        <v>0</v>
      </c>
      <c r="I289" s="91">
        <f t="shared" si="27"/>
        <v>2018.4</v>
      </c>
      <c r="J289" s="91">
        <f t="shared" si="33"/>
        <v>0</v>
      </c>
      <c r="K289" s="91">
        <f t="shared" si="28"/>
        <v>2018.4</v>
      </c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ht="37.5" customHeight="1">
      <c r="A290" s="137" t="s">
        <v>514</v>
      </c>
      <c r="B290" s="58"/>
      <c r="C290" s="57" t="s">
        <v>28</v>
      </c>
      <c r="D290" s="57" t="s">
        <v>26</v>
      </c>
      <c r="E290" s="57" t="s">
        <v>257</v>
      </c>
      <c r="F290" s="57"/>
      <c r="G290" s="91">
        <f t="shared" si="33"/>
        <v>2018.4</v>
      </c>
      <c r="H290" s="91">
        <f t="shared" si="33"/>
        <v>0</v>
      </c>
      <c r="I290" s="91">
        <f t="shared" si="27"/>
        <v>2018.4</v>
      </c>
      <c r="J290" s="91">
        <f t="shared" si="33"/>
        <v>0</v>
      </c>
      <c r="K290" s="91">
        <f t="shared" si="28"/>
        <v>2018.4</v>
      </c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ht="16.5">
      <c r="A291" s="125" t="s">
        <v>711</v>
      </c>
      <c r="B291" s="58"/>
      <c r="C291" s="57" t="s">
        <v>28</v>
      </c>
      <c r="D291" s="57" t="s">
        <v>26</v>
      </c>
      <c r="E291" s="57" t="s">
        <v>257</v>
      </c>
      <c r="F291" s="57" t="s">
        <v>275</v>
      </c>
      <c r="G291" s="91">
        <f>'прил.8'!G944</f>
        <v>2018.4</v>
      </c>
      <c r="H291" s="91">
        <f>'прил.8'!H944</f>
        <v>0</v>
      </c>
      <c r="I291" s="91">
        <f t="shared" si="27"/>
        <v>2018.4</v>
      </c>
      <c r="J291" s="91">
        <f>'прил.8'!J944</f>
        <v>0</v>
      </c>
      <c r="K291" s="91">
        <f t="shared" si="28"/>
        <v>2018.4</v>
      </c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ht="22.5" customHeight="1">
      <c r="A292" s="121" t="s">
        <v>765</v>
      </c>
      <c r="B292" s="68">
        <v>841</v>
      </c>
      <c r="C292" s="57" t="s">
        <v>28</v>
      </c>
      <c r="D292" s="57" t="s">
        <v>108</v>
      </c>
      <c r="E292" s="57"/>
      <c r="F292" s="57"/>
      <c r="G292" s="91">
        <f>G293+G300+G296</f>
        <v>16748.8</v>
      </c>
      <c r="H292" s="91">
        <f>H293+H300+H296</f>
        <v>-2988.1</v>
      </c>
      <c r="I292" s="91">
        <f t="shared" si="27"/>
        <v>13760.699999999999</v>
      </c>
      <c r="J292" s="91">
        <f>J293+J300+J296</f>
        <v>928</v>
      </c>
      <c r="K292" s="91">
        <f t="shared" si="28"/>
        <v>14688.699999999999</v>
      </c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ht="51" customHeight="1">
      <c r="A293" s="123" t="s">
        <v>93</v>
      </c>
      <c r="B293" s="58"/>
      <c r="C293" s="57" t="s">
        <v>28</v>
      </c>
      <c r="D293" s="57" t="s">
        <v>108</v>
      </c>
      <c r="E293" s="57" t="s">
        <v>94</v>
      </c>
      <c r="F293" s="57"/>
      <c r="G293" s="91">
        <f aca="true" t="shared" si="34" ref="G293:J294">G294</f>
        <v>8443.8</v>
      </c>
      <c r="H293" s="91">
        <f t="shared" si="34"/>
        <v>11.9</v>
      </c>
      <c r="I293" s="91">
        <f t="shared" si="27"/>
        <v>8455.699999999999</v>
      </c>
      <c r="J293" s="91">
        <f t="shared" si="34"/>
        <v>728</v>
      </c>
      <c r="K293" s="91">
        <f t="shared" si="28"/>
        <v>9183.699999999999</v>
      </c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ht="16.5">
      <c r="A294" s="123" t="s">
        <v>673</v>
      </c>
      <c r="B294" s="66"/>
      <c r="C294" s="57" t="s">
        <v>28</v>
      </c>
      <c r="D294" s="57" t="s">
        <v>108</v>
      </c>
      <c r="E294" s="57" t="s">
        <v>96</v>
      </c>
      <c r="F294" s="57"/>
      <c r="G294" s="91">
        <f t="shared" si="34"/>
        <v>8443.8</v>
      </c>
      <c r="H294" s="91">
        <f t="shared" si="34"/>
        <v>11.9</v>
      </c>
      <c r="I294" s="91">
        <f t="shared" si="27"/>
        <v>8455.699999999999</v>
      </c>
      <c r="J294" s="91">
        <f t="shared" si="34"/>
        <v>728</v>
      </c>
      <c r="K294" s="91">
        <f t="shared" si="28"/>
        <v>9183.699999999999</v>
      </c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ht="16.5">
      <c r="A295" s="123" t="s">
        <v>438</v>
      </c>
      <c r="B295" s="59"/>
      <c r="C295" s="57" t="s">
        <v>28</v>
      </c>
      <c r="D295" s="57" t="s">
        <v>108</v>
      </c>
      <c r="E295" s="57" t="s">
        <v>96</v>
      </c>
      <c r="F295" s="57" t="s">
        <v>277</v>
      </c>
      <c r="G295" s="91">
        <f>'прил.8'!G948</f>
        <v>8443.8</v>
      </c>
      <c r="H295" s="91">
        <f>'прил.8'!H948</f>
        <v>11.9</v>
      </c>
      <c r="I295" s="91">
        <f t="shared" si="27"/>
        <v>8455.699999999999</v>
      </c>
      <c r="J295" s="91">
        <f>'прил.8'!J948</f>
        <v>728</v>
      </c>
      <c r="K295" s="91">
        <f t="shared" si="28"/>
        <v>9183.699999999999</v>
      </c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ht="33" hidden="1">
      <c r="A296" s="123" t="s">
        <v>730</v>
      </c>
      <c r="B296" s="59"/>
      <c r="C296" s="57" t="s">
        <v>28</v>
      </c>
      <c r="D296" s="57" t="s">
        <v>108</v>
      </c>
      <c r="E296" s="57" t="s">
        <v>483</v>
      </c>
      <c r="F296" s="57"/>
      <c r="G296" s="91">
        <f aca="true" t="shared" si="35" ref="G296:J298">G297</f>
        <v>3000</v>
      </c>
      <c r="H296" s="91">
        <f t="shared" si="35"/>
        <v>-3000</v>
      </c>
      <c r="I296" s="91">
        <f t="shared" si="27"/>
        <v>0</v>
      </c>
      <c r="J296" s="91">
        <f t="shared" si="35"/>
        <v>0</v>
      </c>
      <c r="K296" s="91">
        <f t="shared" si="28"/>
        <v>0</v>
      </c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ht="16.5" hidden="1">
      <c r="A297" s="123" t="s">
        <v>844</v>
      </c>
      <c r="B297" s="68">
        <v>841</v>
      </c>
      <c r="C297" s="57" t="s">
        <v>28</v>
      </c>
      <c r="D297" s="57" t="s">
        <v>108</v>
      </c>
      <c r="E297" s="57" t="s">
        <v>33</v>
      </c>
      <c r="F297" s="57"/>
      <c r="G297" s="91">
        <f t="shared" si="35"/>
        <v>3000</v>
      </c>
      <c r="H297" s="91">
        <f t="shared" si="35"/>
        <v>-3000</v>
      </c>
      <c r="I297" s="91">
        <f t="shared" si="27"/>
        <v>0</v>
      </c>
      <c r="J297" s="91">
        <f t="shared" si="35"/>
        <v>0</v>
      </c>
      <c r="K297" s="91">
        <f t="shared" si="28"/>
        <v>0</v>
      </c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ht="16.5" hidden="1">
      <c r="A298" s="123" t="s">
        <v>731</v>
      </c>
      <c r="B298" s="68">
        <v>841</v>
      </c>
      <c r="C298" s="57" t="s">
        <v>28</v>
      </c>
      <c r="D298" s="57" t="s">
        <v>108</v>
      </c>
      <c r="E298" s="57" t="s">
        <v>36</v>
      </c>
      <c r="F298" s="57"/>
      <c r="G298" s="91">
        <f t="shared" si="35"/>
        <v>3000</v>
      </c>
      <c r="H298" s="91">
        <f t="shared" si="35"/>
        <v>-3000</v>
      </c>
      <c r="I298" s="91">
        <f aca="true" t="shared" si="36" ref="I298:I365">G298+H298</f>
        <v>0</v>
      </c>
      <c r="J298" s="91">
        <f t="shared" si="35"/>
        <v>0</v>
      </c>
      <c r="K298" s="91">
        <f aca="true" t="shared" si="37" ref="K298:K365">I298+J298</f>
        <v>0</v>
      </c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ht="16.5" hidden="1">
      <c r="A299" s="127" t="s">
        <v>271</v>
      </c>
      <c r="B299" s="68">
        <v>841</v>
      </c>
      <c r="C299" s="57" t="s">
        <v>28</v>
      </c>
      <c r="D299" s="57" t="s">
        <v>108</v>
      </c>
      <c r="E299" s="57" t="s">
        <v>36</v>
      </c>
      <c r="F299" s="57" t="s">
        <v>49</v>
      </c>
      <c r="G299" s="91">
        <f>'прил.8'!G1118</f>
        <v>3000</v>
      </c>
      <c r="H299" s="91">
        <f>'прил.8'!H1118</f>
        <v>-3000</v>
      </c>
      <c r="I299" s="91">
        <f t="shared" si="36"/>
        <v>0</v>
      </c>
      <c r="J299" s="91">
        <f>'прил.8'!J1118</f>
        <v>0</v>
      </c>
      <c r="K299" s="91">
        <f t="shared" si="37"/>
        <v>0</v>
      </c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ht="16.5">
      <c r="A300" s="121" t="s">
        <v>441</v>
      </c>
      <c r="B300" s="68">
        <v>840</v>
      </c>
      <c r="C300" s="57" t="s">
        <v>28</v>
      </c>
      <c r="D300" s="57" t="s">
        <v>108</v>
      </c>
      <c r="E300" s="57" t="s">
        <v>433</v>
      </c>
      <c r="F300" s="57"/>
      <c r="G300" s="91">
        <f>G302</f>
        <v>5305</v>
      </c>
      <c r="H300" s="91">
        <f>H302</f>
        <v>0</v>
      </c>
      <c r="I300" s="91">
        <f t="shared" si="36"/>
        <v>5305</v>
      </c>
      <c r="J300" s="91">
        <f>J302</f>
        <v>200</v>
      </c>
      <c r="K300" s="91">
        <f t="shared" si="37"/>
        <v>5505</v>
      </c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ht="16.5">
      <c r="A301" s="121" t="s">
        <v>470</v>
      </c>
      <c r="B301" s="68">
        <v>840</v>
      </c>
      <c r="C301" s="57" t="s">
        <v>28</v>
      </c>
      <c r="D301" s="57" t="s">
        <v>108</v>
      </c>
      <c r="E301" s="57" t="s">
        <v>434</v>
      </c>
      <c r="F301" s="57"/>
      <c r="G301" s="91">
        <f aca="true" t="shared" si="38" ref="G301:J302">G302</f>
        <v>5305</v>
      </c>
      <c r="H301" s="91">
        <f t="shared" si="38"/>
        <v>0</v>
      </c>
      <c r="I301" s="91">
        <f t="shared" si="36"/>
        <v>5305</v>
      </c>
      <c r="J301" s="91">
        <f t="shared" si="38"/>
        <v>200</v>
      </c>
      <c r="K301" s="91">
        <f t="shared" si="37"/>
        <v>5505</v>
      </c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ht="18" customHeight="1">
      <c r="A302" s="121" t="s">
        <v>863</v>
      </c>
      <c r="B302" s="68">
        <v>840</v>
      </c>
      <c r="C302" s="57" t="s">
        <v>28</v>
      </c>
      <c r="D302" s="57" t="s">
        <v>108</v>
      </c>
      <c r="E302" s="57" t="s">
        <v>442</v>
      </c>
      <c r="F302" s="57"/>
      <c r="G302" s="91">
        <f t="shared" si="38"/>
        <v>5305</v>
      </c>
      <c r="H302" s="91">
        <f t="shared" si="38"/>
        <v>0</v>
      </c>
      <c r="I302" s="91">
        <f t="shared" si="36"/>
        <v>5305</v>
      </c>
      <c r="J302" s="91">
        <f>J303+J304</f>
        <v>200</v>
      </c>
      <c r="K302" s="91">
        <f t="shared" si="37"/>
        <v>5505</v>
      </c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ht="16.5">
      <c r="A303" s="123" t="s">
        <v>621</v>
      </c>
      <c r="B303" s="68">
        <v>840</v>
      </c>
      <c r="C303" s="57" t="s">
        <v>28</v>
      </c>
      <c r="D303" s="57" t="s">
        <v>108</v>
      </c>
      <c r="E303" s="57" t="s">
        <v>442</v>
      </c>
      <c r="F303" s="57" t="s">
        <v>568</v>
      </c>
      <c r="G303" s="91">
        <f>'прил.8'!G952</f>
        <v>5305</v>
      </c>
      <c r="H303" s="91">
        <f>'прил.8'!H952</f>
        <v>0</v>
      </c>
      <c r="I303" s="91">
        <f t="shared" si="36"/>
        <v>5305</v>
      </c>
      <c r="J303" s="91">
        <f>'прил.8'!J952</f>
        <v>0</v>
      </c>
      <c r="K303" s="91">
        <f t="shared" si="37"/>
        <v>5305</v>
      </c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ht="16.5">
      <c r="A304" s="127" t="s">
        <v>736</v>
      </c>
      <c r="B304" s="68"/>
      <c r="C304" s="57" t="s">
        <v>28</v>
      </c>
      <c r="D304" s="57" t="s">
        <v>108</v>
      </c>
      <c r="E304" s="57" t="s">
        <v>442</v>
      </c>
      <c r="F304" s="57" t="s">
        <v>334</v>
      </c>
      <c r="G304" s="91"/>
      <c r="H304" s="91"/>
      <c r="I304" s="91"/>
      <c r="J304" s="91">
        <f>'прил.8'!J953+'прил.8'!J278</f>
        <v>200</v>
      </c>
      <c r="K304" s="91">
        <f t="shared" si="37"/>
        <v>200</v>
      </c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ht="16.5">
      <c r="A305" s="121" t="s">
        <v>205</v>
      </c>
      <c r="B305" s="58"/>
      <c r="C305" s="57" t="s">
        <v>625</v>
      </c>
      <c r="D305" s="57"/>
      <c r="E305" s="57"/>
      <c r="F305" s="57"/>
      <c r="G305" s="91">
        <f>G306+G316+G355+G359+G365+G396</f>
        <v>2320200.8000000003</v>
      </c>
      <c r="H305" s="91">
        <f>H306+H316+H355+H359+H365+H396</f>
        <v>69020.40000000001</v>
      </c>
      <c r="I305" s="91">
        <f t="shared" si="36"/>
        <v>2389221.2</v>
      </c>
      <c r="J305" s="91">
        <f>J306+J316+J355+J359+J365+J396</f>
        <v>143733.19999999998</v>
      </c>
      <c r="K305" s="91">
        <f t="shared" si="37"/>
        <v>2532954.4000000004</v>
      </c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ht="16.5">
      <c r="A306" s="121" t="s">
        <v>556</v>
      </c>
      <c r="B306" s="68">
        <v>805</v>
      </c>
      <c r="C306" s="57" t="s">
        <v>625</v>
      </c>
      <c r="D306" s="57" t="s">
        <v>24</v>
      </c>
      <c r="E306" s="76"/>
      <c r="F306" s="76"/>
      <c r="G306" s="91">
        <f>G307+G312</f>
        <v>872919.7000000001</v>
      </c>
      <c r="H306" s="91">
        <f>H307+H312</f>
        <v>49689.3</v>
      </c>
      <c r="I306" s="91">
        <f t="shared" si="36"/>
        <v>922609.0000000001</v>
      </c>
      <c r="J306" s="91">
        <f>J307+J312</f>
        <v>61872.7</v>
      </c>
      <c r="K306" s="91">
        <f t="shared" si="37"/>
        <v>984481.7000000001</v>
      </c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ht="16.5">
      <c r="A307" s="121" t="s">
        <v>766</v>
      </c>
      <c r="B307" s="68">
        <v>805</v>
      </c>
      <c r="C307" s="57" t="s">
        <v>625</v>
      </c>
      <c r="D307" s="57" t="s">
        <v>24</v>
      </c>
      <c r="E307" s="57" t="s">
        <v>557</v>
      </c>
      <c r="F307" s="76"/>
      <c r="G307" s="91">
        <f>G308+G310</f>
        <v>870175.1000000001</v>
      </c>
      <c r="H307" s="91">
        <f>H308+H310</f>
        <v>49689.3</v>
      </c>
      <c r="I307" s="91">
        <f t="shared" si="36"/>
        <v>919864.4000000001</v>
      </c>
      <c r="J307" s="91">
        <f>J308+J310</f>
        <v>61872.7</v>
      </c>
      <c r="K307" s="91">
        <f t="shared" si="37"/>
        <v>981737.1000000001</v>
      </c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ht="16.5">
      <c r="A308" s="121" t="s">
        <v>677</v>
      </c>
      <c r="B308" s="68">
        <v>805</v>
      </c>
      <c r="C308" s="57" t="s">
        <v>625</v>
      </c>
      <c r="D308" s="57" t="s">
        <v>24</v>
      </c>
      <c r="E308" s="57" t="s">
        <v>594</v>
      </c>
      <c r="F308" s="76"/>
      <c r="G308" s="91">
        <f>G309</f>
        <v>28132</v>
      </c>
      <c r="H308" s="91">
        <f>H309</f>
        <v>0</v>
      </c>
      <c r="I308" s="91">
        <f t="shared" si="36"/>
        <v>28132</v>
      </c>
      <c r="J308" s="91">
        <f>J309</f>
        <v>0</v>
      </c>
      <c r="K308" s="91">
        <f t="shared" si="37"/>
        <v>28132</v>
      </c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ht="15.75" customHeight="1">
      <c r="A309" s="123" t="s">
        <v>63</v>
      </c>
      <c r="B309" s="68">
        <v>805</v>
      </c>
      <c r="C309" s="57" t="s">
        <v>625</v>
      </c>
      <c r="D309" s="57" t="s">
        <v>24</v>
      </c>
      <c r="E309" s="57" t="s">
        <v>594</v>
      </c>
      <c r="F309" s="57" t="s">
        <v>660</v>
      </c>
      <c r="G309" s="91">
        <f>'прил.8'!G331</f>
        <v>28132</v>
      </c>
      <c r="H309" s="91">
        <f>'прил.8'!H331</f>
        <v>0</v>
      </c>
      <c r="I309" s="91">
        <f t="shared" si="36"/>
        <v>28132</v>
      </c>
      <c r="J309" s="91">
        <f>'прил.8'!J331</f>
        <v>0</v>
      </c>
      <c r="K309" s="91">
        <f t="shared" si="37"/>
        <v>28132</v>
      </c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s="22" customFormat="1" ht="18" customHeight="1">
      <c r="A310" s="121" t="s">
        <v>655</v>
      </c>
      <c r="B310" s="68">
        <v>805</v>
      </c>
      <c r="C310" s="57" t="s">
        <v>625</v>
      </c>
      <c r="D310" s="57" t="s">
        <v>24</v>
      </c>
      <c r="E310" s="57" t="s">
        <v>558</v>
      </c>
      <c r="F310" s="76"/>
      <c r="G310" s="91">
        <f>G311</f>
        <v>842043.1000000001</v>
      </c>
      <c r="H310" s="91">
        <f>H311</f>
        <v>49689.3</v>
      </c>
      <c r="I310" s="91">
        <f t="shared" si="36"/>
        <v>891732.4000000001</v>
      </c>
      <c r="J310" s="91">
        <f>J311</f>
        <v>61872.7</v>
      </c>
      <c r="K310" s="91">
        <f t="shared" si="37"/>
        <v>953605.1000000001</v>
      </c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s="23" customFormat="1" ht="18" customHeight="1">
      <c r="A311" s="123" t="s">
        <v>63</v>
      </c>
      <c r="B311" s="68">
        <v>805</v>
      </c>
      <c r="C311" s="57" t="s">
        <v>625</v>
      </c>
      <c r="D311" s="57" t="s">
        <v>24</v>
      </c>
      <c r="E311" s="57" t="s">
        <v>558</v>
      </c>
      <c r="F311" s="57" t="s">
        <v>660</v>
      </c>
      <c r="G311" s="91">
        <f>'прил.8'!G333+'прил.8'!G1004</f>
        <v>842043.1000000001</v>
      </c>
      <c r="H311" s="91">
        <f>'прил.8'!H333+'прил.8'!H1004</f>
        <v>49689.3</v>
      </c>
      <c r="I311" s="91">
        <f t="shared" si="36"/>
        <v>891732.4000000001</v>
      </c>
      <c r="J311" s="91">
        <f>'прил.8'!J333+'прил.8'!J1004</f>
        <v>61872.7</v>
      </c>
      <c r="K311" s="91">
        <f t="shared" si="37"/>
        <v>953605.1000000001</v>
      </c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ht="16.5" customHeight="1">
      <c r="A312" s="138" t="s">
        <v>718</v>
      </c>
      <c r="B312" s="68"/>
      <c r="C312" s="57" t="s">
        <v>625</v>
      </c>
      <c r="D312" s="57" t="s">
        <v>24</v>
      </c>
      <c r="E312" s="57" t="s">
        <v>80</v>
      </c>
      <c r="F312" s="57"/>
      <c r="G312" s="91">
        <f>G314</f>
        <v>2744.6</v>
      </c>
      <c r="H312" s="91">
        <f>H314</f>
        <v>0</v>
      </c>
      <c r="I312" s="91">
        <f t="shared" si="36"/>
        <v>2744.6</v>
      </c>
      <c r="J312" s="91">
        <f>J314</f>
        <v>0</v>
      </c>
      <c r="K312" s="91">
        <f t="shared" si="37"/>
        <v>2744.6</v>
      </c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ht="17.25" customHeight="1">
      <c r="A313" s="123" t="s">
        <v>767</v>
      </c>
      <c r="B313" s="68"/>
      <c r="C313" s="57" t="s">
        <v>625</v>
      </c>
      <c r="D313" s="57" t="s">
        <v>24</v>
      </c>
      <c r="E313" s="57" t="s">
        <v>83</v>
      </c>
      <c r="F313" s="57"/>
      <c r="G313" s="91">
        <f aca="true" t="shared" si="39" ref="G313:J314">G314</f>
        <v>2744.6</v>
      </c>
      <c r="H313" s="91">
        <f t="shared" si="39"/>
        <v>0</v>
      </c>
      <c r="I313" s="91">
        <f t="shared" si="36"/>
        <v>2744.6</v>
      </c>
      <c r="J313" s="91">
        <f t="shared" si="39"/>
        <v>0</v>
      </c>
      <c r="K313" s="91">
        <f t="shared" si="37"/>
        <v>2744.6</v>
      </c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ht="66.75" customHeight="1">
      <c r="A314" s="124" t="s">
        <v>173</v>
      </c>
      <c r="B314" s="68"/>
      <c r="C314" s="57" t="s">
        <v>625</v>
      </c>
      <c r="D314" s="57" t="s">
        <v>24</v>
      </c>
      <c r="E314" s="57" t="s">
        <v>577</v>
      </c>
      <c r="F314" s="57"/>
      <c r="G314" s="91">
        <f t="shared" si="39"/>
        <v>2744.6</v>
      </c>
      <c r="H314" s="91">
        <f t="shared" si="39"/>
        <v>0</v>
      </c>
      <c r="I314" s="91">
        <f t="shared" si="36"/>
        <v>2744.6</v>
      </c>
      <c r="J314" s="91">
        <f t="shared" si="39"/>
        <v>0</v>
      </c>
      <c r="K314" s="91">
        <f t="shared" si="37"/>
        <v>2744.6</v>
      </c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ht="16.5" customHeight="1">
      <c r="A315" s="123" t="s">
        <v>63</v>
      </c>
      <c r="B315" s="68"/>
      <c r="C315" s="57" t="s">
        <v>625</v>
      </c>
      <c r="D315" s="57" t="s">
        <v>24</v>
      </c>
      <c r="E315" s="57" t="s">
        <v>577</v>
      </c>
      <c r="F315" s="57" t="s">
        <v>660</v>
      </c>
      <c r="G315" s="91">
        <f>'прил.8'!G337</f>
        <v>2744.6</v>
      </c>
      <c r="H315" s="91">
        <f>'прил.8'!H337</f>
        <v>0</v>
      </c>
      <c r="I315" s="91">
        <f t="shared" si="36"/>
        <v>2744.6</v>
      </c>
      <c r="J315" s="91">
        <f>'прил.8'!J337</f>
        <v>0</v>
      </c>
      <c r="K315" s="91">
        <f t="shared" si="37"/>
        <v>2744.6</v>
      </c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s="22" customFormat="1" ht="17.25" customHeight="1">
      <c r="A316" s="121" t="s">
        <v>773</v>
      </c>
      <c r="B316" s="68">
        <v>805</v>
      </c>
      <c r="C316" s="57" t="s">
        <v>625</v>
      </c>
      <c r="D316" s="57" t="s">
        <v>25</v>
      </c>
      <c r="E316" s="57"/>
      <c r="F316" s="57"/>
      <c r="G316" s="91">
        <f>G317+G325+G332+G335+G347+G338</f>
        <v>1200932.1</v>
      </c>
      <c r="H316" s="91">
        <f>H317+H325+H332+H335+H347+H338</f>
        <v>13651.100000000002</v>
      </c>
      <c r="I316" s="91">
        <f t="shared" si="36"/>
        <v>1214583.2000000002</v>
      </c>
      <c r="J316" s="91">
        <f>J317+J325+J332+J335+J347+J338+J344</f>
        <v>43822.399999999994</v>
      </c>
      <c r="K316" s="91">
        <f t="shared" si="37"/>
        <v>1258405.6</v>
      </c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s="23" customFormat="1" ht="17.25" customHeight="1">
      <c r="A317" s="121" t="s">
        <v>774</v>
      </c>
      <c r="B317" s="68">
        <v>805</v>
      </c>
      <c r="C317" s="57" t="s">
        <v>625</v>
      </c>
      <c r="D317" s="57" t="s">
        <v>25</v>
      </c>
      <c r="E317" s="57" t="s">
        <v>559</v>
      </c>
      <c r="F317" s="57"/>
      <c r="G317" s="91">
        <f>G318+G320</f>
        <v>696026.9</v>
      </c>
      <c r="H317" s="91">
        <f>H318+H320</f>
        <v>11252.100000000002</v>
      </c>
      <c r="I317" s="91">
        <f t="shared" si="36"/>
        <v>707279</v>
      </c>
      <c r="J317" s="91">
        <f>J318+J320</f>
        <v>5555</v>
      </c>
      <c r="K317" s="91">
        <f t="shared" si="37"/>
        <v>712834</v>
      </c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ht="18" customHeight="1">
      <c r="A318" s="121" t="s">
        <v>677</v>
      </c>
      <c r="B318" s="68">
        <v>805</v>
      </c>
      <c r="C318" s="57" t="s">
        <v>625</v>
      </c>
      <c r="D318" s="57" t="s">
        <v>25</v>
      </c>
      <c r="E318" s="57" t="s">
        <v>595</v>
      </c>
      <c r="F318" s="76"/>
      <c r="G318" s="91">
        <f>G319</f>
        <v>26728.8</v>
      </c>
      <c r="H318" s="91">
        <f>H319</f>
        <v>0</v>
      </c>
      <c r="I318" s="91">
        <f t="shared" si="36"/>
        <v>26728.8</v>
      </c>
      <c r="J318" s="91">
        <f>J319</f>
        <v>0</v>
      </c>
      <c r="K318" s="91">
        <f t="shared" si="37"/>
        <v>26728.8</v>
      </c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ht="16.5">
      <c r="A319" s="123" t="s">
        <v>63</v>
      </c>
      <c r="B319" s="68">
        <v>805</v>
      </c>
      <c r="C319" s="57" t="s">
        <v>625</v>
      </c>
      <c r="D319" s="57" t="s">
        <v>25</v>
      </c>
      <c r="E319" s="57" t="s">
        <v>595</v>
      </c>
      <c r="F319" s="57" t="s">
        <v>660</v>
      </c>
      <c r="G319" s="91">
        <f>'прил.8'!G341</f>
        <v>26728.8</v>
      </c>
      <c r="H319" s="91">
        <f>'прил.8'!H341</f>
        <v>0</v>
      </c>
      <c r="I319" s="91">
        <f t="shared" si="36"/>
        <v>26728.8</v>
      </c>
      <c r="J319" s="91">
        <f>'прил.8'!J341</f>
        <v>0</v>
      </c>
      <c r="K319" s="91">
        <f t="shared" si="37"/>
        <v>26728.8</v>
      </c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ht="20.25" customHeight="1">
      <c r="A320" s="121" t="s">
        <v>655</v>
      </c>
      <c r="B320" s="68">
        <v>805</v>
      </c>
      <c r="C320" s="57" t="s">
        <v>625</v>
      </c>
      <c r="D320" s="57" t="s">
        <v>25</v>
      </c>
      <c r="E320" s="57" t="s">
        <v>560</v>
      </c>
      <c r="F320" s="57"/>
      <c r="G320" s="91">
        <f>SUM(G321:G324)</f>
        <v>669298.1</v>
      </c>
      <c r="H320" s="91">
        <f>SUM(H321:H324)</f>
        <v>11252.100000000002</v>
      </c>
      <c r="I320" s="91">
        <f t="shared" si="36"/>
        <v>680550.2</v>
      </c>
      <c r="J320" s="91">
        <f>SUM(J321:J324)</f>
        <v>5555</v>
      </c>
      <c r="K320" s="91">
        <f t="shared" si="37"/>
        <v>686105.2</v>
      </c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ht="16.5" customHeight="1">
      <c r="A321" s="123" t="s">
        <v>63</v>
      </c>
      <c r="B321" s="68">
        <v>805</v>
      </c>
      <c r="C321" s="57" t="s">
        <v>625</v>
      </c>
      <c r="D321" s="57" t="s">
        <v>25</v>
      </c>
      <c r="E321" s="57" t="s">
        <v>560</v>
      </c>
      <c r="F321" s="57" t="s">
        <v>660</v>
      </c>
      <c r="G321" s="91">
        <f>'прил.8'!G343+'прил.8'!G1008</f>
        <v>139520.5</v>
      </c>
      <c r="H321" s="91">
        <f>'прил.8'!H343+'прил.8'!H1008</f>
        <v>11252.100000000002</v>
      </c>
      <c r="I321" s="91">
        <f t="shared" si="36"/>
        <v>150772.6</v>
      </c>
      <c r="J321" s="91">
        <f>'прил.8'!J343+'прил.8'!J1008</f>
        <v>5555</v>
      </c>
      <c r="K321" s="91">
        <f t="shared" si="37"/>
        <v>156327.6</v>
      </c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ht="16.5" customHeight="1">
      <c r="A322" s="124" t="s">
        <v>263</v>
      </c>
      <c r="B322" s="68"/>
      <c r="C322" s="57" t="s">
        <v>625</v>
      </c>
      <c r="D322" s="57" t="s">
        <v>25</v>
      </c>
      <c r="E322" s="57" t="s">
        <v>560</v>
      </c>
      <c r="F322" s="57" t="s">
        <v>570</v>
      </c>
      <c r="G322" s="91">
        <f>'прил.8'!G344</f>
        <v>529777.6</v>
      </c>
      <c r="H322" s="91">
        <f>'прил.8'!H344</f>
        <v>0</v>
      </c>
      <c r="I322" s="91">
        <f t="shared" si="36"/>
        <v>529777.6</v>
      </c>
      <c r="J322" s="91">
        <f>'прил.8'!J344</f>
        <v>0</v>
      </c>
      <c r="K322" s="91">
        <f t="shared" si="37"/>
        <v>529777.6</v>
      </c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ht="30.75" customHeight="1" hidden="1">
      <c r="A323" s="117" t="s">
        <v>667</v>
      </c>
      <c r="B323" s="68"/>
      <c r="C323" s="57" t="s">
        <v>625</v>
      </c>
      <c r="D323" s="57" t="s">
        <v>25</v>
      </c>
      <c r="E323" s="57" t="s">
        <v>560</v>
      </c>
      <c r="F323" s="57" t="s">
        <v>666</v>
      </c>
      <c r="G323" s="91">
        <f>'прил.8'!G345</f>
        <v>0</v>
      </c>
      <c r="H323" s="91" t="str">
        <f>'прил.8'!H345</f>
        <v>   МОУ "Общеобразовательный лицей  "АМТЭК"</v>
      </c>
      <c r="I323" s="91" t="e">
        <f t="shared" si="36"/>
        <v>#VALUE!</v>
      </c>
      <c r="J323" s="91">
        <f>'прил.8'!J345</f>
        <v>0</v>
      </c>
      <c r="K323" s="91" t="e">
        <f t="shared" si="37"/>
        <v>#VALUE!</v>
      </c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ht="16.5" customHeight="1" hidden="1">
      <c r="A324" s="118" t="s">
        <v>671</v>
      </c>
      <c r="B324" s="68"/>
      <c r="C324" s="57" t="s">
        <v>625</v>
      </c>
      <c r="D324" s="57" t="s">
        <v>25</v>
      </c>
      <c r="E324" s="57" t="s">
        <v>560</v>
      </c>
      <c r="F324" s="57" t="s">
        <v>672</v>
      </c>
      <c r="G324" s="91">
        <f>'прил.8'!G346</f>
        <v>0</v>
      </c>
      <c r="H324" s="91">
        <f>'прил.8'!H346</f>
        <v>0</v>
      </c>
      <c r="I324" s="91">
        <f t="shared" si="36"/>
        <v>0</v>
      </c>
      <c r="J324" s="91">
        <f>'прил.8'!J346</f>
        <v>0</v>
      </c>
      <c r="K324" s="91">
        <f t="shared" si="37"/>
        <v>0</v>
      </c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ht="19.5" customHeight="1">
      <c r="A325" s="121" t="s">
        <v>228</v>
      </c>
      <c r="B325" s="68">
        <v>805</v>
      </c>
      <c r="C325" s="57" t="s">
        <v>625</v>
      </c>
      <c r="D325" s="57" t="s">
        <v>25</v>
      </c>
      <c r="E325" s="57" t="s">
        <v>562</v>
      </c>
      <c r="F325" s="57"/>
      <c r="G325" s="91">
        <f>G326+G328</f>
        <v>243148.30000000002</v>
      </c>
      <c r="H325" s="91">
        <f>H326+H328</f>
        <v>-3244.999999999999</v>
      </c>
      <c r="I325" s="91">
        <f t="shared" si="36"/>
        <v>239903.30000000002</v>
      </c>
      <c r="J325" s="91">
        <f>J326+J328</f>
        <v>15546</v>
      </c>
      <c r="K325" s="91">
        <f t="shared" si="37"/>
        <v>255449.30000000002</v>
      </c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ht="16.5" customHeight="1">
      <c r="A326" s="121" t="s">
        <v>677</v>
      </c>
      <c r="B326" s="68">
        <v>805</v>
      </c>
      <c r="C326" s="57" t="s">
        <v>625</v>
      </c>
      <c r="D326" s="57" t="s">
        <v>25</v>
      </c>
      <c r="E326" s="57" t="s">
        <v>596</v>
      </c>
      <c r="F326" s="57"/>
      <c r="G326" s="91">
        <f>G327</f>
        <v>2699.6</v>
      </c>
      <c r="H326" s="91">
        <f>H327</f>
        <v>0</v>
      </c>
      <c r="I326" s="91">
        <f t="shared" si="36"/>
        <v>2699.6</v>
      </c>
      <c r="J326" s="91">
        <f>J327</f>
        <v>0</v>
      </c>
      <c r="K326" s="91">
        <f t="shared" si="37"/>
        <v>2699.6</v>
      </c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ht="17.25" customHeight="1">
      <c r="A327" s="123" t="s">
        <v>63</v>
      </c>
      <c r="B327" s="68" t="s">
        <v>339</v>
      </c>
      <c r="C327" s="57" t="s">
        <v>625</v>
      </c>
      <c r="D327" s="57" t="s">
        <v>25</v>
      </c>
      <c r="E327" s="57" t="s">
        <v>596</v>
      </c>
      <c r="F327" s="57" t="s">
        <v>660</v>
      </c>
      <c r="G327" s="91">
        <f>'прил.8'!G349+'прил.8'!G628+'прил.8'!G727</f>
        <v>2699.6</v>
      </c>
      <c r="H327" s="91">
        <f>'прил.8'!H349+'прил.8'!H628+'прил.8'!H727</f>
        <v>0</v>
      </c>
      <c r="I327" s="91">
        <f t="shared" si="36"/>
        <v>2699.6</v>
      </c>
      <c r="J327" s="91">
        <f>'прил.8'!J349+'прил.8'!J628+'прил.8'!J727</f>
        <v>0</v>
      </c>
      <c r="K327" s="91">
        <f t="shared" si="37"/>
        <v>2699.6</v>
      </c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ht="16.5" customHeight="1">
      <c r="A328" s="121" t="s">
        <v>655</v>
      </c>
      <c r="B328" s="68">
        <v>805</v>
      </c>
      <c r="C328" s="57" t="s">
        <v>625</v>
      </c>
      <c r="D328" s="57" t="s">
        <v>25</v>
      </c>
      <c r="E328" s="57" t="s">
        <v>563</v>
      </c>
      <c r="F328" s="57"/>
      <c r="G328" s="91">
        <f>G329+G330+G331</f>
        <v>240448.7</v>
      </c>
      <c r="H328" s="91">
        <f>H329</f>
        <v>-3244.999999999999</v>
      </c>
      <c r="I328" s="91">
        <f t="shared" si="36"/>
        <v>237203.7</v>
      </c>
      <c r="J328" s="91">
        <f>J329</f>
        <v>15546</v>
      </c>
      <c r="K328" s="91">
        <f t="shared" si="37"/>
        <v>252749.7</v>
      </c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ht="17.25" customHeight="1">
      <c r="A329" s="123" t="s">
        <v>63</v>
      </c>
      <c r="B329" s="68" t="s">
        <v>338</v>
      </c>
      <c r="C329" s="57" t="s">
        <v>625</v>
      </c>
      <c r="D329" s="57" t="s">
        <v>25</v>
      </c>
      <c r="E329" s="57" t="s">
        <v>563</v>
      </c>
      <c r="F329" s="57" t="s">
        <v>660</v>
      </c>
      <c r="G329" s="91">
        <f>'прил.8'!G351+'прил.8'!G630+'прил.8'!G729+'прил.8'!G1011</f>
        <v>240448.7</v>
      </c>
      <c r="H329" s="91">
        <f>'прил.8'!H351+'прил.8'!H630+'прил.8'!H729+'прил.8'!H1011</f>
        <v>-3244.999999999999</v>
      </c>
      <c r="I329" s="91">
        <f t="shared" si="36"/>
        <v>237203.7</v>
      </c>
      <c r="J329" s="91">
        <f>'прил.8'!J351+'прил.8'!J630+'прил.8'!J729+'прил.8'!J1011</f>
        <v>15546</v>
      </c>
      <c r="K329" s="91">
        <f t="shared" si="37"/>
        <v>252749.7</v>
      </c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ht="33.75" customHeight="1" hidden="1">
      <c r="A330" s="117" t="s">
        <v>667</v>
      </c>
      <c r="B330" s="68"/>
      <c r="C330" s="57" t="s">
        <v>625</v>
      </c>
      <c r="D330" s="57" t="s">
        <v>25</v>
      </c>
      <c r="E330" s="57" t="s">
        <v>563</v>
      </c>
      <c r="F330" s="57" t="s">
        <v>666</v>
      </c>
      <c r="G330" s="91">
        <f>'прил.8'!G730</f>
        <v>0</v>
      </c>
      <c r="H330" s="91" t="str">
        <f>'прил.8'!H730</f>
        <v>    МОУДОД ДЮСШ "Центр боевых искусств"</v>
      </c>
      <c r="I330" s="91" t="e">
        <f t="shared" si="36"/>
        <v>#VALUE!</v>
      </c>
      <c r="J330" s="91">
        <f>'прил.8'!J730</f>
        <v>0</v>
      </c>
      <c r="K330" s="91" t="e">
        <f t="shared" si="37"/>
        <v>#VALUE!</v>
      </c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ht="17.25" customHeight="1" hidden="1">
      <c r="A331" s="118" t="s">
        <v>671</v>
      </c>
      <c r="B331" s="68"/>
      <c r="C331" s="57" t="s">
        <v>625</v>
      </c>
      <c r="D331" s="57" t="s">
        <v>25</v>
      </c>
      <c r="E331" s="57" t="s">
        <v>563</v>
      </c>
      <c r="F331" s="57" t="s">
        <v>672</v>
      </c>
      <c r="G331" s="91">
        <f>'прил.8'!G731</f>
        <v>0</v>
      </c>
      <c r="H331" s="91">
        <f>'прил.8'!H731</f>
        <v>0</v>
      </c>
      <c r="I331" s="91">
        <f t="shared" si="36"/>
        <v>0</v>
      </c>
      <c r="J331" s="91">
        <f>'прил.8'!J731</f>
        <v>0</v>
      </c>
      <c r="K331" s="91">
        <f t="shared" si="37"/>
        <v>0</v>
      </c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ht="17.25" customHeight="1">
      <c r="A332" s="121" t="s">
        <v>775</v>
      </c>
      <c r="B332" s="68">
        <v>805</v>
      </c>
      <c r="C332" s="57" t="s">
        <v>625</v>
      </c>
      <c r="D332" s="57" t="s">
        <v>25</v>
      </c>
      <c r="E332" s="57" t="s">
        <v>564</v>
      </c>
      <c r="F332" s="57"/>
      <c r="G332" s="93">
        <f aca="true" t="shared" si="40" ref="G332:J333">G333</f>
        <v>33.6</v>
      </c>
      <c r="H332" s="93">
        <f t="shared" si="40"/>
        <v>3151</v>
      </c>
      <c r="I332" s="91">
        <f t="shared" si="36"/>
        <v>3184.6</v>
      </c>
      <c r="J332" s="93">
        <f t="shared" si="40"/>
        <v>0</v>
      </c>
      <c r="K332" s="91">
        <f t="shared" si="37"/>
        <v>3184.6</v>
      </c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ht="18" customHeight="1">
      <c r="A333" s="121" t="s">
        <v>655</v>
      </c>
      <c r="B333" s="68">
        <v>805</v>
      </c>
      <c r="C333" s="57" t="s">
        <v>625</v>
      </c>
      <c r="D333" s="57" t="s">
        <v>25</v>
      </c>
      <c r="E333" s="57" t="s">
        <v>565</v>
      </c>
      <c r="F333" s="57"/>
      <c r="G333" s="93">
        <f t="shared" si="40"/>
        <v>33.6</v>
      </c>
      <c r="H333" s="93">
        <f t="shared" si="40"/>
        <v>3151</v>
      </c>
      <c r="I333" s="91">
        <f t="shared" si="36"/>
        <v>3184.6</v>
      </c>
      <c r="J333" s="93">
        <f t="shared" si="40"/>
        <v>0</v>
      </c>
      <c r="K333" s="91">
        <f t="shared" si="37"/>
        <v>3184.6</v>
      </c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ht="19.5" customHeight="1">
      <c r="A334" s="123" t="s">
        <v>63</v>
      </c>
      <c r="B334" s="68">
        <v>805</v>
      </c>
      <c r="C334" s="57" t="s">
        <v>625</v>
      </c>
      <c r="D334" s="57" t="s">
        <v>25</v>
      </c>
      <c r="E334" s="57" t="s">
        <v>565</v>
      </c>
      <c r="F334" s="57" t="s">
        <v>660</v>
      </c>
      <c r="G334" s="91">
        <f>'прил.8'!G354</f>
        <v>33.6</v>
      </c>
      <c r="H334" s="91">
        <f>'прил.8'!H354</f>
        <v>3151</v>
      </c>
      <c r="I334" s="91">
        <f t="shared" si="36"/>
        <v>3184.6</v>
      </c>
      <c r="J334" s="91">
        <f>'прил.8'!J354</f>
        <v>0</v>
      </c>
      <c r="K334" s="91">
        <f t="shared" si="37"/>
        <v>3184.6</v>
      </c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ht="18.75" customHeight="1">
      <c r="A335" s="121" t="s">
        <v>864</v>
      </c>
      <c r="B335" s="68">
        <v>805</v>
      </c>
      <c r="C335" s="57" t="s">
        <v>625</v>
      </c>
      <c r="D335" s="57" t="s">
        <v>25</v>
      </c>
      <c r="E335" s="57" t="s">
        <v>566</v>
      </c>
      <c r="F335" s="57"/>
      <c r="G335" s="91">
        <f aca="true" t="shared" si="41" ref="G335:J336">G336</f>
        <v>33.6</v>
      </c>
      <c r="H335" s="91">
        <f t="shared" si="41"/>
        <v>2493</v>
      </c>
      <c r="I335" s="91">
        <f t="shared" si="36"/>
        <v>2526.6</v>
      </c>
      <c r="J335" s="91">
        <f t="shared" si="41"/>
        <v>0</v>
      </c>
      <c r="K335" s="91">
        <f t="shared" si="37"/>
        <v>2526.6</v>
      </c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ht="18.75" customHeight="1">
      <c r="A336" s="121" t="s">
        <v>655</v>
      </c>
      <c r="B336" s="68">
        <v>805</v>
      </c>
      <c r="C336" s="57" t="s">
        <v>625</v>
      </c>
      <c r="D336" s="57" t="s">
        <v>25</v>
      </c>
      <c r="E336" s="57" t="s">
        <v>567</v>
      </c>
      <c r="F336" s="57"/>
      <c r="G336" s="91">
        <f t="shared" si="41"/>
        <v>33.6</v>
      </c>
      <c r="H336" s="91">
        <f t="shared" si="41"/>
        <v>2493</v>
      </c>
      <c r="I336" s="91">
        <f t="shared" si="36"/>
        <v>2526.6</v>
      </c>
      <c r="J336" s="91">
        <f t="shared" si="41"/>
        <v>0</v>
      </c>
      <c r="K336" s="91">
        <f t="shared" si="37"/>
        <v>2526.6</v>
      </c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ht="15.75" customHeight="1">
      <c r="A337" s="123" t="s">
        <v>63</v>
      </c>
      <c r="B337" s="68">
        <v>805</v>
      </c>
      <c r="C337" s="57" t="s">
        <v>625</v>
      </c>
      <c r="D337" s="57" t="s">
        <v>25</v>
      </c>
      <c r="E337" s="57" t="s">
        <v>567</v>
      </c>
      <c r="F337" s="57" t="s">
        <v>660</v>
      </c>
      <c r="G337" s="91">
        <f>'прил.8'!G357</f>
        <v>33.6</v>
      </c>
      <c r="H337" s="91">
        <f>'прил.8'!H357</f>
        <v>2493</v>
      </c>
      <c r="I337" s="91">
        <f t="shared" si="36"/>
        <v>2526.6</v>
      </c>
      <c r="J337" s="91">
        <f>'прил.8'!J357</f>
        <v>0</v>
      </c>
      <c r="K337" s="91">
        <f t="shared" si="37"/>
        <v>2526.6</v>
      </c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ht="15.75" customHeight="1">
      <c r="A338" s="123" t="s">
        <v>776</v>
      </c>
      <c r="B338" s="68"/>
      <c r="C338" s="57" t="s">
        <v>625</v>
      </c>
      <c r="D338" s="57" t="s">
        <v>25</v>
      </c>
      <c r="E338" s="57" t="s">
        <v>574</v>
      </c>
      <c r="F338" s="57"/>
      <c r="G338" s="91">
        <f>G339</f>
        <v>67068</v>
      </c>
      <c r="H338" s="91">
        <f>H339</f>
        <v>0</v>
      </c>
      <c r="I338" s="91">
        <f t="shared" si="36"/>
        <v>67068</v>
      </c>
      <c r="J338" s="91">
        <f>J339</f>
        <v>0</v>
      </c>
      <c r="K338" s="91">
        <f t="shared" si="37"/>
        <v>67068</v>
      </c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ht="33.75" customHeight="1">
      <c r="A339" s="123" t="s">
        <v>181</v>
      </c>
      <c r="B339" s="68"/>
      <c r="C339" s="57" t="s">
        <v>625</v>
      </c>
      <c r="D339" s="57" t="s">
        <v>25</v>
      </c>
      <c r="E339" s="57" t="s">
        <v>573</v>
      </c>
      <c r="F339" s="57"/>
      <c r="G339" s="91">
        <f>G340+G342</f>
        <v>67068</v>
      </c>
      <c r="H339" s="91">
        <f>H340+H342</f>
        <v>0</v>
      </c>
      <c r="I339" s="91">
        <f t="shared" si="36"/>
        <v>67068</v>
      </c>
      <c r="J339" s="91">
        <f>J340+J342</f>
        <v>0</v>
      </c>
      <c r="K339" s="91">
        <f t="shared" si="37"/>
        <v>67068</v>
      </c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ht="16.5" customHeight="1">
      <c r="A340" s="124" t="s">
        <v>515</v>
      </c>
      <c r="B340" s="68"/>
      <c r="C340" s="57" t="s">
        <v>625</v>
      </c>
      <c r="D340" s="57" t="s">
        <v>25</v>
      </c>
      <c r="E340" s="57" t="s">
        <v>575</v>
      </c>
      <c r="F340" s="57"/>
      <c r="G340" s="91">
        <f>G341</f>
        <v>47937</v>
      </c>
      <c r="H340" s="91">
        <f>H341</f>
        <v>0</v>
      </c>
      <c r="I340" s="91">
        <f t="shared" si="36"/>
        <v>47937</v>
      </c>
      <c r="J340" s="91">
        <f>J341</f>
        <v>0</v>
      </c>
      <c r="K340" s="91">
        <f t="shared" si="37"/>
        <v>47937</v>
      </c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ht="15.75" customHeight="1">
      <c r="A341" s="124" t="s">
        <v>63</v>
      </c>
      <c r="B341" s="68"/>
      <c r="C341" s="57" t="s">
        <v>625</v>
      </c>
      <c r="D341" s="57" t="s">
        <v>25</v>
      </c>
      <c r="E341" s="57" t="s">
        <v>575</v>
      </c>
      <c r="F341" s="57" t="s">
        <v>660</v>
      </c>
      <c r="G341" s="91">
        <f>'прил.8'!G360</f>
        <v>47937</v>
      </c>
      <c r="H341" s="91">
        <f>'прил.8'!H360</f>
        <v>0</v>
      </c>
      <c r="I341" s="91">
        <f t="shared" si="36"/>
        <v>47937</v>
      </c>
      <c r="J341" s="91">
        <f>'прил.8'!J360</f>
        <v>0</v>
      </c>
      <c r="K341" s="91">
        <f t="shared" si="37"/>
        <v>47937</v>
      </c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ht="35.25" customHeight="1">
      <c r="A342" s="124" t="s">
        <v>693</v>
      </c>
      <c r="B342" s="68"/>
      <c r="C342" s="57" t="s">
        <v>625</v>
      </c>
      <c r="D342" s="57" t="s">
        <v>25</v>
      </c>
      <c r="E342" s="57" t="s">
        <v>572</v>
      </c>
      <c r="F342" s="57"/>
      <c r="G342" s="91">
        <f>G343</f>
        <v>19131</v>
      </c>
      <c r="H342" s="91">
        <f>H343</f>
        <v>0</v>
      </c>
      <c r="I342" s="91">
        <f t="shared" si="36"/>
        <v>19131</v>
      </c>
      <c r="J342" s="91">
        <f>J343</f>
        <v>0</v>
      </c>
      <c r="K342" s="91">
        <f t="shared" si="37"/>
        <v>19131</v>
      </c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ht="20.25" customHeight="1">
      <c r="A343" s="123" t="s">
        <v>63</v>
      </c>
      <c r="B343" s="68"/>
      <c r="C343" s="57" t="s">
        <v>625</v>
      </c>
      <c r="D343" s="57" t="s">
        <v>25</v>
      </c>
      <c r="E343" s="57" t="s">
        <v>572</v>
      </c>
      <c r="F343" s="57" t="s">
        <v>660</v>
      </c>
      <c r="G343" s="91">
        <f>'прил.8'!G363</f>
        <v>19131</v>
      </c>
      <c r="H343" s="91">
        <f>'прил.8'!H363</f>
        <v>0</v>
      </c>
      <c r="I343" s="91">
        <f t="shared" si="36"/>
        <v>19131</v>
      </c>
      <c r="J343" s="91">
        <f>'прил.8'!J363</f>
        <v>0</v>
      </c>
      <c r="K343" s="91">
        <f t="shared" si="37"/>
        <v>19131</v>
      </c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ht="20.25" customHeight="1">
      <c r="A344" s="135" t="s">
        <v>192</v>
      </c>
      <c r="B344" s="68"/>
      <c r="C344" s="67" t="s">
        <v>625</v>
      </c>
      <c r="D344" s="67" t="s">
        <v>25</v>
      </c>
      <c r="E344" s="67" t="s">
        <v>561</v>
      </c>
      <c r="F344" s="67"/>
      <c r="G344" s="91"/>
      <c r="H344" s="91"/>
      <c r="I344" s="91"/>
      <c r="J344" s="91">
        <f>J345</f>
        <v>23077.8</v>
      </c>
      <c r="K344" s="91">
        <f t="shared" si="37"/>
        <v>23077.8</v>
      </c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ht="34.5" customHeight="1">
      <c r="A345" s="132" t="s">
        <v>182</v>
      </c>
      <c r="B345" s="68"/>
      <c r="C345" s="67" t="s">
        <v>625</v>
      </c>
      <c r="D345" s="67" t="s">
        <v>25</v>
      </c>
      <c r="E345" s="67" t="s">
        <v>681</v>
      </c>
      <c r="F345" s="67"/>
      <c r="G345" s="91"/>
      <c r="H345" s="91"/>
      <c r="I345" s="91"/>
      <c r="J345" s="91">
        <f>J346</f>
        <v>23077.8</v>
      </c>
      <c r="K345" s="91">
        <f t="shared" si="37"/>
        <v>23077.8</v>
      </c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ht="20.25" customHeight="1">
      <c r="A346" s="124" t="s">
        <v>682</v>
      </c>
      <c r="B346" s="68"/>
      <c r="C346" s="67" t="s">
        <v>625</v>
      </c>
      <c r="D346" s="67" t="s">
        <v>25</v>
      </c>
      <c r="E346" s="67" t="s">
        <v>681</v>
      </c>
      <c r="F346" s="67" t="s">
        <v>660</v>
      </c>
      <c r="G346" s="91"/>
      <c r="H346" s="91"/>
      <c r="I346" s="91"/>
      <c r="J346" s="91">
        <f>'прил.8'!J366</f>
        <v>23077.8</v>
      </c>
      <c r="K346" s="91">
        <f t="shared" si="37"/>
        <v>23077.8</v>
      </c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ht="19.5" customHeight="1">
      <c r="A347" s="123" t="s">
        <v>718</v>
      </c>
      <c r="B347" s="68"/>
      <c r="C347" s="57" t="s">
        <v>625</v>
      </c>
      <c r="D347" s="57" t="s">
        <v>25</v>
      </c>
      <c r="E347" s="57" t="s">
        <v>80</v>
      </c>
      <c r="F347" s="57"/>
      <c r="G347" s="91">
        <f>G348</f>
        <v>194621.7</v>
      </c>
      <c r="H347" s="91">
        <f>H348</f>
        <v>0</v>
      </c>
      <c r="I347" s="91">
        <f t="shared" si="36"/>
        <v>194621.7</v>
      </c>
      <c r="J347" s="91">
        <f>J348</f>
        <v>-356.4</v>
      </c>
      <c r="K347" s="91">
        <f t="shared" si="37"/>
        <v>194265.30000000002</v>
      </c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ht="19.5" customHeight="1">
      <c r="A348" s="123" t="s">
        <v>767</v>
      </c>
      <c r="B348" s="68"/>
      <c r="C348" s="57" t="s">
        <v>625</v>
      </c>
      <c r="D348" s="57" t="s">
        <v>25</v>
      </c>
      <c r="E348" s="57" t="s">
        <v>83</v>
      </c>
      <c r="F348" s="57"/>
      <c r="G348" s="91">
        <f>G349+G353+G351</f>
        <v>194621.7</v>
      </c>
      <c r="H348" s="91">
        <f>H349+H353+H351</f>
        <v>0</v>
      </c>
      <c r="I348" s="91">
        <f t="shared" si="36"/>
        <v>194621.7</v>
      </c>
      <c r="J348" s="91">
        <f>J349+J353+J351</f>
        <v>-356.4</v>
      </c>
      <c r="K348" s="91">
        <f t="shared" si="37"/>
        <v>194265.30000000002</v>
      </c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ht="118.5" customHeight="1">
      <c r="A349" s="123" t="s">
        <v>426</v>
      </c>
      <c r="B349" s="68"/>
      <c r="C349" s="57" t="s">
        <v>625</v>
      </c>
      <c r="D349" s="57" t="s">
        <v>25</v>
      </c>
      <c r="E349" s="57" t="s">
        <v>87</v>
      </c>
      <c r="F349" s="57"/>
      <c r="G349" s="91">
        <f>G350</f>
        <v>123855.7</v>
      </c>
      <c r="H349" s="91">
        <f>H350</f>
        <v>0</v>
      </c>
      <c r="I349" s="91">
        <f t="shared" si="36"/>
        <v>123855.7</v>
      </c>
      <c r="J349" s="91">
        <f>J350</f>
        <v>0</v>
      </c>
      <c r="K349" s="91">
        <f t="shared" si="37"/>
        <v>123855.7</v>
      </c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ht="19.5" customHeight="1">
      <c r="A350" s="123" t="s">
        <v>63</v>
      </c>
      <c r="B350" s="68"/>
      <c r="C350" s="57" t="s">
        <v>625</v>
      </c>
      <c r="D350" s="57" t="s">
        <v>25</v>
      </c>
      <c r="E350" s="57" t="s">
        <v>87</v>
      </c>
      <c r="F350" s="57" t="s">
        <v>660</v>
      </c>
      <c r="G350" s="91">
        <f>'прил.8'!G370</f>
        <v>123855.7</v>
      </c>
      <c r="H350" s="91">
        <f>'прил.8'!H370</f>
        <v>0</v>
      </c>
      <c r="I350" s="91">
        <f t="shared" si="36"/>
        <v>123855.7</v>
      </c>
      <c r="J350" s="91">
        <f>'прил.8'!J370</f>
        <v>0</v>
      </c>
      <c r="K350" s="91">
        <f t="shared" si="37"/>
        <v>123855.7</v>
      </c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ht="89.25" customHeight="1">
      <c r="A351" s="119" t="s">
        <v>184</v>
      </c>
      <c r="B351" s="68"/>
      <c r="C351" s="57" t="s">
        <v>625</v>
      </c>
      <c r="D351" s="57" t="s">
        <v>25</v>
      </c>
      <c r="E351" s="57" t="s">
        <v>578</v>
      </c>
      <c r="F351" s="57"/>
      <c r="G351" s="91">
        <f>G352</f>
        <v>70409.6</v>
      </c>
      <c r="H351" s="91">
        <f>H352</f>
        <v>0</v>
      </c>
      <c r="I351" s="91">
        <f t="shared" si="36"/>
        <v>70409.6</v>
      </c>
      <c r="J351" s="91">
        <f>J352</f>
        <v>0</v>
      </c>
      <c r="K351" s="91">
        <f t="shared" si="37"/>
        <v>70409.6</v>
      </c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ht="19.5" customHeight="1">
      <c r="A352" s="123" t="s">
        <v>63</v>
      </c>
      <c r="B352" s="68"/>
      <c r="C352" s="57" t="s">
        <v>625</v>
      </c>
      <c r="D352" s="57" t="s">
        <v>25</v>
      </c>
      <c r="E352" s="57" t="s">
        <v>578</v>
      </c>
      <c r="F352" s="57" t="s">
        <v>660</v>
      </c>
      <c r="G352" s="91">
        <f>'прил.8'!G372</f>
        <v>70409.6</v>
      </c>
      <c r="H352" s="91">
        <f>'прил.8'!H372</f>
        <v>0</v>
      </c>
      <c r="I352" s="91">
        <f t="shared" si="36"/>
        <v>70409.6</v>
      </c>
      <c r="J352" s="91">
        <f>'прил.8'!J372</f>
        <v>0</v>
      </c>
      <c r="K352" s="91">
        <f t="shared" si="37"/>
        <v>70409.6</v>
      </c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ht="55.5" customHeight="1" hidden="1">
      <c r="A353" s="139" t="s">
        <v>185</v>
      </c>
      <c r="B353" s="68"/>
      <c r="C353" s="57" t="s">
        <v>625</v>
      </c>
      <c r="D353" s="57" t="s">
        <v>25</v>
      </c>
      <c r="E353" s="57" t="s">
        <v>571</v>
      </c>
      <c r="F353" s="57"/>
      <c r="G353" s="91">
        <f>G354</f>
        <v>356.4</v>
      </c>
      <c r="H353" s="91">
        <f>H354</f>
        <v>0</v>
      </c>
      <c r="I353" s="91">
        <f t="shared" si="36"/>
        <v>356.4</v>
      </c>
      <c r="J353" s="91">
        <f>J354</f>
        <v>-356.4</v>
      </c>
      <c r="K353" s="91">
        <f t="shared" si="37"/>
        <v>0</v>
      </c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ht="19.5" customHeight="1" hidden="1">
      <c r="A354" s="123" t="s">
        <v>63</v>
      </c>
      <c r="B354" s="68"/>
      <c r="C354" s="57" t="s">
        <v>625</v>
      </c>
      <c r="D354" s="57" t="s">
        <v>25</v>
      </c>
      <c r="E354" s="57" t="s">
        <v>571</v>
      </c>
      <c r="F354" s="57" t="s">
        <v>660</v>
      </c>
      <c r="G354" s="91">
        <f>'прил.8'!G374</f>
        <v>356.4</v>
      </c>
      <c r="H354" s="91">
        <f>'прил.8'!H374</f>
        <v>0</v>
      </c>
      <c r="I354" s="91">
        <f t="shared" si="36"/>
        <v>356.4</v>
      </c>
      <c r="J354" s="91">
        <f>'прил.8'!J374</f>
        <v>-356.4</v>
      </c>
      <c r="K354" s="91">
        <f t="shared" si="37"/>
        <v>0</v>
      </c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ht="18" customHeight="1" hidden="1">
      <c r="A355" s="123" t="s">
        <v>91</v>
      </c>
      <c r="B355" s="68"/>
      <c r="C355" s="57" t="s">
        <v>625</v>
      </c>
      <c r="D355" s="57" t="s">
        <v>26</v>
      </c>
      <c r="E355" s="57"/>
      <c r="F355" s="57"/>
      <c r="G355" s="91">
        <f aca="true" t="shared" si="42" ref="G355:J357">G356</f>
        <v>0</v>
      </c>
      <c r="H355" s="91">
        <f t="shared" si="42"/>
        <v>0</v>
      </c>
      <c r="I355" s="91">
        <f t="shared" si="36"/>
        <v>0</v>
      </c>
      <c r="J355" s="91">
        <f t="shared" si="42"/>
        <v>0</v>
      </c>
      <c r="K355" s="91">
        <f t="shared" si="37"/>
        <v>0</v>
      </c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ht="17.25" customHeight="1" hidden="1">
      <c r="A356" s="123" t="s">
        <v>92</v>
      </c>
      <c r="B356" s="68"/>
      <c r="C356" s="57" t="s">
        <v>625</v>
      </c>
      <c r="D356" s="57" t="s">
        <v>26</v>
      </c>
      <c r="E356" s="57" t="s">
        <v>89</v>
      </c>
      <c r="F356" s="57"/>
      <c r="G356" s="91">
        <f t="shared" si="42"/>
        <v>0</v>
      </c>
      <c r="H356" s="91">
        <f t="shared" si="42"/>
        <v>0</v>
      </c>
      <c r="I356" s="91">
        <f t="shared" si="36"/>
        <v>0</v>
      </c>
      <c r="J356" s="91">
        <f t="shared" si="42"/>
        <v>0</v>
      </c>
      <c r="K356" s="91">
        <f t="shared" si="37"/>
        <v>0</v>
      </c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ht="15.75" customHeight="1" hidden="1">
      <c r="A357" s="121" t="s">
        <v>480</v>
      </c>
      <c r="B357" s="68"/>
      <c r="C357" s="57" t="s">
        <v>625</v>
      </c>
      <c r="D357" s="57" t="s">
        <v>26</v>
      </c>
      <c r="E357" s="57" t="s">
        <v>90</v>
      </c>
      <c r="F357" s="57"/>
      <c r="G357" s="91">
        <f t="shared" si="42"/>
        <v>0</v>
      </c>
      <c r="H357" s="91">
        <f t="shared" si="42"/>
        <v>0</v>
      </c>
      <c r="I357" s="91">
        <f t="shared" si="36"/>
        <v>0</v>
      </c>
      <c r="J357" s="91">
        <f t="shared" si="42"/>
        <v>0</v>
      </c>
      <c r="K357" s="91">
        <f t="shared" si="37"/>
        <v>0</v>
      </c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ht="15.75" customHeight="1" hidden="1">
      <c r="A358" s="123" t="s">
        <v>63</v>
      </c>
      <c r="B358" s="68"/>
      <c r="C358" s="57" t="s">
        <v>625</v>
      </c>
      <c r="D358" s="57" t="s">
        <v>26</v>
      </c>
      <c r="E358" s="57" t="s">
        <v>90</v>
      </c>
      <c r="F358" s="57" t="s">
        <v>660</v>
      </c>
      <c r="G358" s="91">
        <f>'прил.8'!G378</f>
        <v>0</v>
      </c>
      <c r="H358" s="91">
        <f>'прил.8'!H378</f>
        <v>0</v>
      </c>
      <c r="I358" s="91">
        <f t="shared" si="36"/>
        <v>0</v>
      </c>
      <c r="J358" s="91">
        <f>'прил.8'!J378</f>
        <v>0</v>
      </c>
      <c r="K358" s="91">
        <f t="shared" si="37"/>
        <v>0</v>
      </c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ht="21" customHeight="1" hidden="1">
      <c r="A359" s="121" t="s">
        <v>661</v>
      </c>
      <c r="B359" s="57" t="s">
        <v>64</v>
      </c>
      <c r="C359" s="57" t="s">
        <v>625</v>
      </c>
      <c r="D359" s="57" t="s">
        <v>108</v>
      </c>
      <c r="E359" s="57"/>
      <c r="F359" s="57"/>
      <c r="G359" s="91">
        <f>G360</f>
        <v>0</v>
      </c>
      <c r="H359" s="91">
        <f>H360</f>
        <v>0</v>
      </c>
      <c r="I359" s="91">
        <f t="shared" si="36"/>
        <v>0</v>
      </c>
      <c r="J359" s="91">
        <f>J360</f>
        <v>0</v>
      </c>
      <c r="K359" s="91">
        <f t="shared" si="37"/>
        <v>0</v>
      </c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ht="20.25" customHeight="1" hidden="1">
      <c r="A360" s="121" t="s">
        <v>644</v>
      </c>
      <c r="B360" s="68">
        <v>805</v>
      </c>
      <c r="C360" s="57" t="s">
        <v>625</v>
      </c>
      <c r="D360" s="57" t="s">
        <v>108</v>
      </c>
      <c r="E360" s="57" t="s">
        <v>643</v>
      </c>
      <c r="F360" s="57"/>
      <c r="G360" s="91">
        <f>G361+G363</f>
        <v>0</v>
      </c>
      <c r="H360" s="91">
        <f>H361+H363</f>
        <v>0</v>
      </c>
      <c r="I360" s="91">
        <f t="shared" si="36"/>
        <v>0</v>
      </c>
      <c r="J360" s="91">
        <f>J361+J363</f>
        <v>0</v>
      </c>
      <c r="K360" s="91">
        <f t="shared" si="37"/>
        <v>0</v>
      </c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ht="18.75" customHeight="1" hidden="1">
      <c r="A361" s="121" t="s">
        <v>593</v>
      </c>
      <c r="B361" s="68">
        <v>805</v>
      </c>
      <c r="C361" s="57" t="s">
        <v>625</v>
      </c>
      <c r="D361" s="57" t="s">
        <v>108</v>
      </c>
      <c r="E361" s="57" t="s">
        <v>646</v>
      </c>
      <c r="F361" s="57"/>
      <c r="G361" s="91">
        <f>G362</f>
        <v>0</v>
      </c>
      <c r="H361" s="91">
        <f>H362</f>
        <v>0</v>
      </c>
      <c r="I361" s="91">
        <f t="shared" si="36"/>
        <v>0</v>
      </c>
      <c r="J361" s="91">
        <f>J362</f>
        <v>0</v>
      </c>
      <c r="K361" s="91">
        <f t="shared" si="37"/>
        <v>0</v>
      </c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ht="18.75" customHeight="1" hidden="1">
      <c r="A362" s="123" t="s">
        <v>63</v>
      </c>
      <c r="B362" s="68">
        <v>805</v>
      </c>
      <c r="C362" s="57" t="s">
        <v>625</v>
      </c>
      <c r="D362" s="57" t="s">
        <v>108</v>
      </c>
      <c r="E362" s="57" t="s">
        <v>646</v>
      </c>
      <c r="F362" s="57" t="s">
        <v>660</v>
      </c>
      <c r="G362" s="91">
        <f>'прил.8'!G382</f>
        <v>0</v>
      </c>
      <c r="H362" s="91">
        <f>'прил.8'!H382</f>
        <v>0</v>
      </c>
      <c r="I362" s="91">
        <f t="shared" si="36"/>
        <v>0</v>
      </c>
      <c r="J362" s="91">
        <f>'прил.8'!J382</f>
        <v>0</v>
      </c>
      <c r="K362" s="91">
        <f t="shared" si="37"/>
        <v>0</v>
      </c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ht="18.75" customHeight="1" hidden="1">
      <c r="A363" s="121" t="s">
        <v>480</v>
      </c>
      <c r="B363" s="68">
        <v>805</v>
      </c>
      <c r="C363" s="57" t="s">
        <v>625</v>
      </c>
      <c r="D363" s="57" t="s">
        <v>108</v>
      </c>
      <c r="E363" s="57" t="s">
        <v>645</v>
      </c>
      <c r="F363" s="57"/>
      <c r="G363" s="91">
        <f>G364</f>
        <v>0</v>
      </c>
      <c r="H363" s="91">
        <f>H364</f>
        <v>0</v>
      </c>
      <c r="I363" s="91">
        <f t="shared" si="36"/>
        <v>0</v>
      </c>
      <c r="J363" s="91">
        <f>J364</f>
        <v>0</v>
      </c>
      <c r="K363" s="91">
        <f t="shared" si="37"/>
        <v>0</v>
      </c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s="22" customFormat="1" ht="17.25" customHeight="1" hidden="1">
      <c r="A364" s="123" t="s">
        <v>63</v>
      </c>
      <c r="B364" s="68">
        <v>805</v>
      </c>
      <c r="C364" s="57" t="s">
        <v>625</v>
      </c>
      <c r="D364" s="57" t="s">
        <v>108</v>
      </c>
      <c r="E364" s="57" t="s">
        <v>645</v>
      </c>
      <c r="F364" s="57" t="s">
        <v>660</v>
      </c>
      <c r="G364" s="91">
        <f>'прил.8'!G384</f>
        <v>0</v>
      </c>
      <c r="H364" s="91">
        <f>'прил.8'!H384</f>
        <v>0</v>
      </c>
      <c r="I364" s="91">
        <f t="shared" si="36"/>
        <v>0</v>
      </c>
      <c r="J364" s="91">
        <f>'прил.8'!J384</f>
        <v>0</v>
      </c>
      <c r="K364" s="91">
        <f t="shared" si="37"/>
        <v>0</v>
      </c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ht="18.75" customHeight="1">
      <c r="A365" s="121" t="s">
        <v>307</v>
      </c>
      <c r="B365" s="68">
        <v>805</v>
      </c>
      <c r="C365" s="57" t="s">
        <v>625</v>
      </c>
      <c r="D365" s="57" t="s">
        <v>625</v>
      </c>
      <c r="E365" s="57"/>
      <c r="F365" s="57"/>
      <c r="G365" s="91">
        <f>G370+G377+G392+G386</f>
        <v>48642.399999999994</v>
      </c>
      <c r="H365" s="91">
        <f>H370+H377+H392+H386</f>
        <v>16805</v>
      </c>
      <c r="I365" s="91">
        <f t="shared" si="36"/>
        <v>65447.399999999994</v>
      </c>
      <c r="J365" s="91">
        <f>J370+J377+J392+J386+J383+J366</f>
        <v>21770.1</v>
      </c>
      <c r="K365" s="91">
        <f t="shared" si="37"/>
        <v>87217.5</v>
      </c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ht="36.75" customHeight="1">
      <c r="A366" s="124" t="s">
        <v>268</v>
      </c>
      <c r="B366" s="68"/>
      <c r="C366" s="57" t="s">
        <v>625</v>
      </c>
      <c r="D366" s="57" t="s">
        <v>625</v>
      </c>
      <c r="E366" s="67" t="s">
        <v>483</v>
      </c>
      <c r="F366" s="67"/>
      <c r="G366" s="91"/>
      <c r="H366" s="91"/>
      <c r="I366" s="91"/>
      <c r="J366" s="91">
        <f>J367</f>
        <v>980</v>
      </c>
      <c r="K366" s="91">
        <f aca="true" t="shared" si="43" ref="K366:K395">I366+J366</f>
        <v>980</v>
      </c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ht="18.75" customHeight="1">
      <c r="A367" s="124" t="s">
        <v>7</v>
      </c>
      <c r="B367" s="68"/>
      <c r="C367" s="57" t="s">
        <v>625</v>
      </c>
      <c r="D367" s="57" t="s">
        <v>625</v>
      </c>
      <c r="E367" s="67" t="s">
        <v>33</v>
      </c>
      <c r="F367" s="67"/>
      <c r="G367" s="91"/>
      <c r="H367" s="91"/>
      <c r="I367" s="91"/>
      <c r="J367" s="91">
        <f>J368</f>
        <v>980</v>
      </c>
      <c r="K367" s="91">
        <f t="shared" si="43"/>
        <v>980</v>
      </c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ht="18.75" customHeight="1">
      <c r="A368" s="124" t="s">
        <v>343</v>
      </c>
      <c r="B368" s="68"/>
      <c r="C368" s="57" t="s">
        <v>625</v>
      </c>
      <c r="D368" s="57" t="s">
        <v>625</v>
      </c>
      <c r="E368" s="67" t="s">
        <v>36</v>
      </c>
      <c r="F368" s="67"/>
      <c r="G368" s="91"/>
      <c r="H368" s="91"/>
      <c r="I368" s="91"/>
      <c r="J368" s="91">
        <f>J369</f>
        <v>980</v>
      </c>
      <c r="K368" s="91">
        <f t="shared" si="43"/>
        <v>980</v>
      </c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ht="18.75" customHeight="1">
      <c r="A369" s="135" t="s">
        <v>492</v>
      </c>
      <c r="B369" s="68"/>
      <c r="C369" s="57" t="s">
        <v>625</v>
      </c>
      <c r="D369" s="57" t="s">
        <v>625</v>
      </c>
      <c r="E369" s="67" t="s">
        <v>36</v>
      </c>
      <c r="F369" s="67" t="s">
        <v>49</v>
      </c>
      <c r="G369" s="91"/>
      <c r="H369" s="91"/>
      <c r="I369" s="91"/>
      <c r="J369" s="91">
        <f>'прил.8'!J1124</f>
        <v>980</v>
      </c>
      <c r="K369" s="91">
        <f t="shared" si="43"/>
        <v>980</v>
      </c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ht="19.5" customHeight="1">
      <c r="A370" s="121" t="s">
        <v>777</v>
      </c>
      <c r="B370" s="68">
        <v>801</v>
      </c>
      <c r="C370" s="57" t="s">
        <v>625</v>
      </c>
      <c r="D370" s="57" t="s">
        <v>625</v>
      </c>
      <c r="E370" s="57" t="s">
        <v>456</v>
      </c>
      <c r="F370" s="57"/>
      <c r="G370" s="91">
        <f>G371+G373+G375</f>
        <v>5685.3</v>
      </c>
      <c r="H370" s="91">
        <f>H371+H373+H375</f>
        <v>0</v>
      </c>
      <c r="I370" s="91">
        <f aca="true" t="shared" si="44" ref="I370:I436">G370+H370</f>
        <v>5685.3</v>
      </c>
      <c r="J370" s="91">
        <f>J371+J373+J375</f>
        <v>837.9</v>
      </c>
      <c r="K370" s="91">
        <f t="shared" si="43"/>
        <v>6523.2</v>
      </c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ht="17.25" customHeight="1">
      <c r="A371" s="121" t="s">
        <v>678</v>
      </c>
      <c r="B371" s="68">
        <v>801</v>
      </c>
      <c r="C371" s="57" t="s">
        <v>625</v>
      </c>
      <c r="D371" s="57" t="s">
        <v>625</v>
      </c>
      <c r="E371" s="57" t="s">
        <v>455</v>
      </c>
      <c r="F371" s="57"/>
      <c r="G371" s="91">
        <f>G372</f>
        <v>804.5</v>
      </c>
      <c r="H371" s="91">
        <f>H372</f>
        <v>0</v>
      </c>
      <c r="I371" s="91">
        <f t="shared" si="44"/>
        <v>804.5</v>
      </c>
      <c r="J371" s="91">
        <f>J372</f>
        <v>319.6</v>
      </c>
      <c r="K371" s="91">
        <f t="shared" si="43"/>
        <v>1124.1</v>
      </c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ht="15.75" customHeight="1">
      <c r="A372" s="121" t="s">
        <v>227</v>
      </c>
      <c r="B372" s="68">
        <v>801</v>
      </c>
      <c r="C372" s="57" t="s">
        <v>625</v>
      </c>
      <c r="D372" s="57" t="s">
        <v>625</v>
      </c>
      <c r="E372" s="57" t="s">
        <v>455</v>
      </c>
      <c r="F372" s="57" t="s">
        <v>652</v>
      </c>
      <c r="G372" s="91">
        <f>'прил.8'!G121</f>
        <v>804.5</v>
      </c>
      <c r="H372" s="91">
        <f>'прил.8'!H121</f>
        <v>0</v>
      </c>
      <c r="I372" s="91">
        <f t="shared" si="44"/>
        <v>804.5</v>
      </c>
      <c r="J372" s="91">
        <f>'прил.8'!J121</f>
        <v>319.6</v>
      </c>
      <c r="K372" s="91">
        <f t="shared" si="43"/>
        <v>1124.1</v>
      </c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ht="15.75" customHeight="1">
      <c r="A373" s="121" t="s">
        <v>677</v>
      </c>
      <c r="B373" s="68"/>
      <c r="C373" s="57" t="s">
        <v>625</v>
      </c>
      <c r="D373" s="57" t="s">
        <v>625</v>
      </c>
      <c r="E373" s="57" t="s">
        <v>14</v>
      </c>
      <c r="F373" s="57"/>
      <c r="G373" s="91">
        <f>G374</f>
        <v>192.8</v>
      </c>
      <c r="H373" s="91">
        <f>H374</f>
        <v>0</v>
      </c>
      <c r="I373" s="91">
        <f t="shared" si="44"/>
        <v>192.8</v>
      </c>
      <c r="J373" s="91">
        <f>J374</f>
        <v>0</v>
      </c>
      <c r="K373" s="91">
        <f t="shared" si="43"/>
        <v>192.8</v>
      </c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ht="15.75" customHeight="1">
      <c r="A374" s="121" t="s">
        <v>63</v>
      </c>
      <c r="B374" s="68"/>
      <c r="C374" s="57" t="s">
        <v>625</v>
      </c>
      <c r="D374" s="57" t="s">
        <v>625</v>
      </c>
      <c r="E374" s="57" t="s">
        <v>14</v>
      </c>
      <c r="F374" s="57" t="s">
        <v>660</v>
      </c>
      <c r="G374" s="91">
        <f>'прил.8'!G123</f>
        <v>192.8</v>
      </c>
      <c r="H374" s="91">
        <f>'прил.8'!H123</f>
        <v>0</v>
      </c>
      <c r="I374" s="91">
        <f t="shared" si="44"/>
        <v>192.8</v>
      </c>
      <c r="J374" s="91">
        <f>'прил.8'!J123</f>
        <v>0</v>
      </c>
      <c r="K374" s="91">
        <f t="shared" si="43"/>
        <v>192.8</v>
      </c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ht="18.75" customHeight="1">
      <c r="A375" s="123" t="s">
        <v>655</v>
      </c>
      <c r="B375" s="68"/>
      <c r="C375" s="57" t="s">
        <v>625</v>
      </c>
      <c r="D375" s="57" t="s">
        <v>625</v>
      </c>
      <c r="E375" s="57" t="s">
        <v>13</v>
      </c>
      <c r="F375" s="57"/>
      <c r="G375" s="91">
        <f>G376</f>
        <v>4688</v>
      </c>
      <c r="H375" s="91">
        <f>H376</f>
        <v>0</v>
      </c>
      <c r="I375" s="91">
        <f t="shared" si="44"/>
        <v>4688</v>
      </c>
      <c r="J375" s="91">
        <f>J376</f>
        <v>518.3</v>
      </c>
      <c r="K375" s="91">
        <f t="shared" si="43"/>
        <v>5206.3</v>
      </c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ht="20.25" customHeight="1">
      <c r="A376" s="121" t="s">
        <v>63</v>
      </c>
      <c r="B376" s="68"/>
      <c r="C376" s="57" t="s">
        <v>625</v>
      </c>
      <c r="D376" s="57" t="s">
        <v>625</v>
      </c>
      <c r="E376" s="57" t="s">
        <v>13</v>
      </c>
      <c r="F376" s="57" t="s">
        <v>660</v>
      </c>
      <c r="G376" s="91">
        <f>'прил.8'!G125</f>
        <v>4688</v>
      </c>
      <c r="H376" s="91">
        <f>'прил.8'!H125</f>
        <v>0</v>
      </c>
      <c r="I376" s="91">
        <f t="shared" si="44"/>
        <v>4688</v>
      </c>
      <c r="J376" s="91">
        <f>'прил.8'!J125</f>
        <v>518.3</v>
      </c>
      <c r="K376" s="91">
        <f t="shared" si="43"/>
        <v>5206.3</v>
      </c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ht="18" customHeight="1">
      <c r="A377" s="123" t="s">
        <v>778</v>
      </c>
      <c r="B377" s="68">
        <v>805</v>
      </c>
      <c r="C377" s="57" t="s">
        <v>625</v>
      </c>
      <c r="D377" s="57" t="s">
        <v>625</v>
      </c>
      <c r="E377" s="57" t="s">
        <v>591</v>
      </c>
      <c r="F377" s="57"/>
      <c r="G377" s="91">
        <f>G378</f>
        <v>10000</v>
      </c>
      <c r="H377" s="91">
        <f>H378</f>
        <v>16805</v>
      </c>
      <c r="I377" s="91">
        <f t="shared" si="44"/>
        <v>26805</v>
      </c>
      <c r="J377" s="91">
        <f>J378</f>
        <v>10107.3</v>
      </c>
      <c r="K377" s="91">
        <f t="shared" si="43"/>
        <v>36912.3</v>
      </c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ht="18.75" customHeight="1">
      <c r="A378" s="121" t="s">
        <v>779</v>
      </c>
      <c r="B378" s="68">
        <v>810</v>
      </c>
      <c r="C378" s="57" t="s">
        <v>625</v>
      </c>
      <c r="D378" s="57" t="s">
        <v>625</v>
      </c>
      <c r="E378" s="57" t="s">
        <v>633</v>
      </c>
      <c r="F378" s="57"/>
      <c r="G378" s="91">
        <f>SUM(G379:G381)</f>
        <v>10000</v>
      </c>
      <c r="H378" s="91">
        <f>SUM(H379:H381)</f>
        <v>16805</v>
      </c>
      <c r="I378" s="91">
        <f t="shared" si="44"/>
        <v>26805</v>
      </c>
      <c r="J378" s="91">
        <f>SUM(J379:J382)</f>
        <v>10107.3</v>
      </c>
      <c r="K378" s="91">
        <f t="shared" si="43"/>
        <v>36912.3</v>
      </c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ht="16.5" customHeight="1">
      <c r="A379" s="121" t="s">
        <v>780</v>
      </c>
      <c r="B379" s="68">
        <v>810</v>
      </c>
      <c r="C379" s="57" t="s">
        <v>625</v>
      </c>
      <c r="D379" s="57" t="s">
        <v>625</v>
      </c>
      <c r="E379" s="57" t="s">
        <v>633</v>
      </c>
      <c r="F379" s="57" t="s">
        <v>334</v>
      </c>
      <c r="G379" s="91">
        <f>'прил.8'!G807</f>
        <v>10000</v>
      </c>
      <c r="H379" s="91">
        <f>'прил.8'!H807</f>
        <v>10000</v>
      </c>
      <c r="I379" s="91">
        <f t="shared" si="44"/>
        <v>20000</v>
      </c>
      <c r="J379" s="91">
        <f>'прил.8'!J807</f>
        <v>8975</v>
      </c>
      <c r="K379" s="91">
        <f t="shared" si="43"/>
        <v>28975</v>
      </c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s="22" customFormat="1" ht="18" customHeight="1">
      <c r="A380" s="131" t="s">
        <v>276</v>
      </c>
      <c r="B380" s="68">
        <v>810</v>
      </c>
      <c r="C380" s="57" t="s">
        <v>625</v>
      </c>
      <c r="D380" s="57" t="s">
        <v>625</v>
      </c>
      <c r="E380" s="57" t="s">
        <v>633</v>
      </c>
      <c r="F380" s="57" t="s">
        <v>275</v>
      </c>
      <c r="G380" s="91">
        <f>'прил.8'!G808</f>
        <v>0</v>
      </c>
      <c r="H380" s="91">
        <f>'прил.8'!H808</f>
        <v>6805</v>
      </c>
      <c r="I380" s="91">
        <f t="shared" si="44"/>
        <v>6805</v>
      </c>
      <c r="J380" s="91">
        <f>'прил.8'!J808</f>
        <v>0</v>
      </c>
      <c r="K380" s="91">
        <f t="shared" si="43"/>
        <v>6805</v>
      </c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s="23" customFormat="1" ht="18" customHeight="1">
      <c r="A381" s="121" t="s">
        <v>653</v>
      </c>
      <c r="B381" s="68">
        <v>810</v>
      </c>
      <c r="C381" s="57" t="s">
        <v>625</v>
      </c>
      <c r="D381" s="57" t="s">
        <v>625</v>
      </c>
      <c r="E381" s="57" t="s">
        <v>633</v>
      </c>
      <c r="F381" s="57" t="s">
        <v>652</v>
      </c>
      <c r="G381" s="91">
        <f>'прил.8'!G387+'прил.8'!G128+'прил.8'!G198+'прил.8'!G277+'прил.8'!G315+'прил.8'!G478+'прил.8'!G602+'прил.8'!G634+'прил.8'!G735+'прил.8'!G735+'прил.8'!G958+'прил.8'!G969</f>
        <v>0</v>
      </c>
      <c r="H381" s="91">
        <f>'прил.8'!H387+'прил.8'!H128+'прил.8'!H198+'прил.8'!H277+'прил.8'!H315+'прил.8'!H478+'прил.8'!H602+'прил.8'!H634+'прил.8'!H735+'прил.8'!H735+'прил.8'!H958+'прил.8'!H969</f>
        <v>0</v>
      </c>
      <c r="I381" s="91">
        <f t="shared" si="44"/>
        <v>0</v>
      </c>
      <c r="J381" s="91">
        <f>'прил.8'!J809</f>
        <v>1106.3</v>
      </c>
      <c r="K381" s="91">
        <f t="shared" si="43"/>
        <v>1106.3</v>
      </c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11" s="13" customFormat="1" ht="18" customHeight="1">
      <c r="A382" s="120" t="s">
        <v>618</v>
      </c>
      <c r="B382" s="68"/>
      <c r="C382" s="57" t="s">
        <v>625</v>
      </c>
      <c r="D382" s="57" t="s">
        <v>625</v>
      </c>
      <c r="E382" s="57" t="s">
        <v>633</v>
      </c>
      <c r="F382" s="57" t="s">
        <v>193</v>
      </c>
      <c r="G382" s="91"/>
      <c r="H382" s="91"/>
      <c r="I382" s="91"/>
      <c r="J382" s="91">
        <f>'прил.8'!J1015</f>
        <v>26</v>
      </c>
      <c r="K382" s="91">
        <f t="shared" si="43"/>
        <v>26</v>
      </c>
    </row>
    <row r="383" spans="1:23" ht="18" customHeight="1">
      <c r="A383" s="132" t="s">
        <v>439</v>
      </c>
      <c r="B383" s="68"/>
      <c r="C383" s="57" t="s">
        <v>625</v>
      </c>
      <c r="D383" s="57" t="s">
        <v>625</v>
      </c>
      <c r="E383" s="57" t="s">
        <v>471</v>
      </c>
      <c r="F383" s="57"/>
      <c r="G383" s="91"/>
      <c r="H383" s="91"/>
      <c r="I383" s="91"/>
      <c r="J383" s="91">
        <f>J384</f>
        <v>1274</v>
      </c>
      <c r="K383" s="91">
        <f t="shared" si="43"/>
        <v>1274</v>
      </c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ht="33.75" customHeight="1">
      <c r="A384" s="132" t="s">
        <v>183</v>
      </c>
      <c r="B384" s="68"/>
      <c r="C384" s="57" t="s">
        <v>625</v>
      </c>
      <c r="D384" s="57" t="s">
        <v>625</v>
      </c>
      <c r="E384" s="57" t="s">
        <v>82</v>
      </c>
      <c r="F384" s="57"/>
      <c r="G384" s="91"/>
      <c r="H384" s="91"/>
      <c r="I384" s="91"/>
      <c r="J384" s="91">
        <f>J385</f>
        <v>1274</v>
      </c>
      <c r="K384" s="91">
        <f t="shared" si="43"/>
        <v>1274</v>
      </c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ht="18" customHeight="1">
      <c r="A385" s="120" t="s">
        <v>618</v>
      </c>
      <c r="B385" s="68"/>
      <c r="C385" s="57" t="s">
        <v>625</v>
      </c>
      <c r="D385" s="57" t="s">
        <v>625</v>
      </c>
      <c r="E385" s="57" t="s">
        <v>82</v>
      </c>
      <c r="F385" s="57" t="s">
        <v>193</v>
      </c>
      <c r="G385" s="91"/>
      <c r="H385" s="91"/>
      <c r="I385" s="91"/>
      <c r="J385" s="91">
        <f>'прил.8'!J1018</f>
        <v>1274</v>
      </c>
      <c r="K385" s="91">
        <f t="shared" si="43"/>
        <v>1274</v>
      </c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ht="21.75" customHeight="1">
      <c r="A386" s="123" t="s">
        <v>718</v>
      </c>
      <c r="B386" s="68"/>
      <c r="C386" s="57" t="s">
        <v>625</v>
      </c>
      <c r="D386" s="57" t="s">
        <v>625</v>
      </c>
      <c r="E386" s="57" t="s">
        <v>80</v>
      </c>
      <c r="F386" s="57"/>
      <c r="G386" s="91">
        <f>G387+G390</f>
        <v>32257.1</v>
      </c>
      <c r="H386" s="91">
        <f>H387+H390</f>
        <v>0</v>
      </c>
      <c r="I386" s="91">
        <f t="shared" si="44"/>
        <v>32257.1</v>
      </c>
      <c r="J386" s="91">
        <f>J387+J390</f>
        <v>8375.3</v>
      </c>
      <c r="K386" s="91">
        <f t="shared" si="43"/>
        <v>40632.399999999994</v>
      </c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ht="20.25" customHeight="1">
      <c r="A387" s="123" t="s">
        <v>767</v>
      </c>
      <c r="B387" s="68"/>
      <c r="C387" s="57" t="s">
        <v>625</v>
      </c>
      <c r="D387" s="57" t="s">
        <v>625</v>
      </c>
      <c r="E387" s="57" t="s">
        <v>83</v>
      </c>
      <c r="F387" s="57"/>
      <c r="G387" s="91">
        <f aca="true" t="shared" si="45" ref="G387:J388">G388</f>
        <v>6391.3</v>
      </c>
      <c r="H387" s="91">
        <f t="shared" si="45"/>
        <v>0</v>
      </c>
      <c r="I387" s="91">
        <f t="shared" si="44"/>
        <v>6391.3</v>
      </c>
      <c r="J387" s="91">
        <f t="shared" si="45"/>
        <v>0</v>
      </c>
      <c r="K387" s="91">
        <f t="shared" si="43"/>
        <v>6391.3</v>
      </c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ht="135.75" customHeight="1">
      <c r="A388" s="123" t="s">
        <v>429</v>
      </c>
      <c r="B388" s="68"/>
      <c r="C388" s="57" t="s">
        <v>625</v>
      </c>
      <c r="D388" s="57" t="s">
        <v>625</v>
      </c>
      <c r="E388" s="57" t="s">
        <v>87</v>
      </c>
      <c r="F388" s="57"/>
      <c r="G388" s="91">
        <f t="shared" si="45"/>
        <v>6391.3</v>
      </c>
      <c r="H388" s="91">
        <f t="shared" si="45"/>
        <v>0</v>
      </c>
      <c r="I388" s="91">
        <f t="shared" si="44"/>
        <v>6391.3</v>
      </c>
      <c r="J388" s="91">
        <f t="shared" si="45"/>
        <v>0</v>
      </c>
      <c r="K388" s="91">
        <f t="shared" si="43"/>
        <v>6391.3</v>
      </c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ht="21.75" customHeight="1">
      <c r="A389" s="131" t="s">
        <v>711</v>
      </c>
      <c r="B389" s="68"/>
      <c r="C389" s="57" t="s">
        <v>625</v>
      </c>
      <c r="D389" s="57" t="s">
        <v>625</v>
      </c>
      <c r="E389" s="57" t="s">
        <v>87</v>
      </c>
      <c r="F389" s="57" t="s">
        <v>275</v>
      </c>
      <c r="G389" s="91">
        <f>'прил.8'!G391</f>
        <v>6391.3</v>
      </c>
      <c r="H389" s="91">
        <f>'прил.8'!H391</f>
        <v>0</v>
      </c>
      <c r="I389" s="91">
        <f t="shared" si="44"/>
        <v>6391.3</v>
      </c>
      <c r="J389" s="91">
        <f>'прил.8'!J391</f>
        <v>0</v>
      </c>
      <c r="K389" s="91">
        <f t="shared" si="43"/>
        <v>6391.3</v>
      </c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ht="120" customHeight="1">
      <c r="A390" s="136" t="s">
        <v>177</v>
      </c>
      <c r="B390" s="68"/>
      <c r="C390" s="67" t="s">
        <v>625</v>
      </c>
      <c r="D390" s="67" t="s">
        <v>625</v>
      </c>
      <c r="E390" s="67" t="s">
        <v>78</v>
      </c>
      <c r="F390" s="67"/>
      <c r="G390" s="91">
        <f>G391</f>
        <v>25865.8</v>
      </c>
      <c r="H390" s="91">
        <f>H391</f>
        <v>0</v>
      </c>
      <c r="I390" s="91">
        <f t="shared" si="44"/>
        <v>25865.8</v>
      </c>
      <c r="J390" s="91">
        <f>J391</f>
        <v>8375.3</v>
      </c>
      <c r="K390" s="91">
        <f t="shared" si="43"/>
        <v>34241.1</v>
      </c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ht="21.75" customHeight="1">
      <c r="A391" s="124" t="s">
        <v>453</v>
      </c>
      <c r="B391" s="68"/>
      <c r="C391" s="67" t="s">
        <v>625</v>
      </c>
      <c r="D391" s="67" t="s">
        <v>625</v>
      </c>
      <c r="E391" s="67" t="s">
        <v>78</v>
      </c>
      <c r="F391" s="67" t="s">
        <v>275</v>
      </c>
      <c r="G391" s="91">
        <f>'прил.8'!G815</f>
        <v>25865.8</v>
      </c>
      <c r="H391" s="91">
        <f>'прил.8'!H815+'прил.8'!H393+'прил.8'!H738</f>
        <v>0</v>
      </c>
      <c r="I391" s="91">
        <f t="shared" si="44"/>
        <v>25865.8</v>
      </c>
      <c r="J391" s="91">
        <f>'прил.8'!J815+'прил.8'!J393+'прил.8'!J738</f>
        <v>8375.3</v>
      </c>
      <c r="K391" s="91">
        <f t="shared" si="43"/>
        <v>34241.1</v>
      </c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ht="18" customHeight="1">
      <c r="A392" s="121" t="s">
        <v>441</v>
      </c>
      <c r="B392" s="68">
        <v>801</v>
      </c>
      <c r="C392" s="57" t="s">
        <v>625</v>
      </c>
      <c r="D392" s="57" t="s">
        <v>625</v>
      </c>
      <c r="E392" s="57" t="s">
        <v>433</v>
      </c>
      <c r="F392" s="57"/>
      <c r="G392" s="91">
        <f>G394</f>
        <v>700</v>
      </c>
      <c r="H392" s="91">
        <f>H394</f>
        <v>0</v>
      </c>
      <c r="I392" s="91">
        <f t="shared" si="44"/>
        <v>700</v>
      </c>
      <c r="J392" s="91">
        <f>J394</f>
        <v>195.6</v>
      </c>
      <c r="K392" s="91">
        <f t="shared" si="43"/>
        <v>895.6</v>
      </c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ht="18" customHeight="1">
      <c r="A393" s="121" t="s">
        <v>470</v>
      </c>
      <c r="B393" s="68">
        <v>801</v>
      </c>
      <c r="C393" s="57" t="s">
        <v>625</v>
      </c>
      <c r="D393" s="57" t="s">
        <v>625</v>
      </c>
      <c r="E393" s="57" t="s">
        <v>434</v>
      </c>
      <c r="F393" s="57"/>
      <c r="G393" s="91">
        <f aca="true" t="shared" si="46" ref="G393:J394">G394</f>
        <v>700</v>
      </c>
      <c r="H393" s="91">
        <f t="shared" si="46"/>
        <v>0</v>
      </c>
      <c r="I393" s="91">
        <f t="shared" si="44"/>
        <v>700</v>
      </c>
      <c r="J393" s="91">
        <f t="shared" si="46"/>
        <v>195.6</v>
      </c>
      <c r="K393" s="91">
        <f t="shared" si="43"/>
        <v>895.6</v>
      </c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ht="18" customHeight="1">
      <c r="A394" s="121" t="s">
        <v>279</v>
      </c>
      <c r="B394" s="68">
        <v>801</v>
      </c>
      <c r="C394" s="57" t="s">
        <v>625</v>
      </c>
      <c r="D394" s="57" t="s">
        <v>625</v>
      </c>
      <c r="E394" s="57" t="s">
        <v>446</v>
      </c>
      <c r="F394" s="57"/>
      <c r="G394" s="91">
        <f t="shared" si="46"/>
        <v>700</v>
      </c>
      <c r="H394" s="91">
        <f t="shared" si="46"/>
        <v>0</v>
      </c>
      <c r="I394" s="91">
        <f t="shared" si="44"/>
        <v>700</v>
      </c>
      <c r="J394" s="91">
        <f t="shared" si="46"/>
        <v>195.6</v>
      </c>
      <c r="K394" s="91">
        <f t="shared" si="43"/>
        <v>895.6</v>
      </c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ht="21.75" customHeight="1">
      <c r="A395" s="123" t="s">
        <v>438</v>
      </c>
      <c r="B395" s="68">
        <v>801</v>
      </c>
      <c r="C395" s="57" t="s">
        <v>625</v>
      </c>
      <c r="D395" s="57" t="s">
        <v>625</v>
      </c>
      <c r="E395" s="57" t="s">
        <v>446</v>
      </c>
      <c r="F395" s="57" t="s">
        <v>277</v>
      </c>
      <c r="G395" s="91">
        <f>'прил.8'!G132</f>
        <v>700</v>
      </c>
      <c r="H395" s="91">
        <f>'прил.8'!H132</f>
        <v>0</v>
      </c>
      <c r="I395" s="91">
        <f t="shared" si="44"/>
        <v>700</v>
      </c>
      <c r="J395" s="91">
        <f>'прил.8'!J132</f>
        <v>195.6</v>
      </c>
      <c r="K395" s="91">
        <f t="shared" si="43"/>
        <v>895.6</v>
      </c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ht="20.25" customHeight="1">
      <c r="A396" s="121" t="s">
        <v>781</v>
      </c>
      <c r="B396" s="68">
        <v>805</v>
      </c>
      <c r="C396" s="57" t="s">
        <v>625</v>
      </c>
      <c r="D396" s="57" t="s">
        <v>106</v>
      </c>
      <c r="E396" s="57"/>
      <c r="F396" s="57"/>
      <c r="G396" s="91">
        <f>G397+G400+G418+G423+G444+G441</f>
        <v>197706.6</v>
      </c>
      <c r="H396" s="91">
        <f>H397+H400+H418+H423+H444+H441</f>
        <v>-11125</v>
      </c>
      <c r="I396" s="91">
        <f t="shared" si="44"/>
        <v>186581.6</v>
      </c>
      <c r="J396" s="91">
        <f>J397+J400+J418+J423+J444+J441</f>
        <v>16268</v>
      </c>
      <c r="K396" s="91">
        <f aca="true" t="shared" si="47" ref="K396:K436">I396+J396</f>
        <v>202849.6</v>
      </c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ht="49.5" customHeight="1">
      <c r="A397" s="123" t="s">
        <v>93</v>
      </c>
      <c r="B397" s="68">
        <v>805</v>
      </c>
      <c r="C397" s="57" t="s">
        <v>625</v>
      </c>
      <c r="D397" s="57" t="s">
        <v>106</v>
      </c>
      <c r="E397" s="57" t="s">
        <v>94</v>
      </c>
      <c r="F397" s="57"/>
      <c r="G397" s="91">
        <f aca="true" t="shared" si="48" ref="G397:J398">G398</f>
        <v>12645</v>
      </c>
      <c r="H397" s="91">
        <f t="shared" si="48"/>
        <v>17.2</v>
      </c>
      <c r="I397" s="91">
        <f t="shared" si="44"/>
        <v>12662.2</v>
      </c>
      <c r="J397" s="91">
        <f t="shared" si="48"/>
        <v>489.2</v>
      </c>
      <c r="K397" s="91">
        <f t="shared" si="47"/>
        <v>13151.400000000001</v>
      </c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23" ht="16.5">
      <c r="A398" s="123" t="s">
        <v>673</v>
      </c>
      <c r="B398" s="68">
        <v>805</v>
      </c>
      <c r="C398" s="57" t="s">
        <v>703</v>
      </c>
      <c r="D398" s="57" t="s">
        <v>222</v>
      </c>
      <c r="E398" s="57" t="s">
        <v>96</v>
      </c>
      <c r="F398" s="57"/>
      <c r="G398" s="91">
        <f t="shared" si="48"/>
        <v>12645</v>
      </c>
      <c r="H398" s="91">
        <f t="shared" si="48"/>
        <v>17.2</v>
      </c>
      <c r="I398" s="91">
        <f t="shared" si="44"/>
        <v>12662.2</v>
      </c>
      <c r="J398" s="91">
        <f t="shared" si="48"/>
        <v>489.2</v>
      </c>
      <c r="K398" s="91">
        <f t="shared" si="47"/>
        <v>13151.400000000001</v>
      </c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23" ht="16.5">
      <c r="A399" s="123" t="s">
        <v>438</v>
      </c>
      <c r="B399" s="68">
        <v>805</v>
      </c>
      <c r="C399" s="57" t="s">
        <v>625</v>
      </c>
      <c r="D399" s="57" t="s">
        <v>106</v>
      </c>
      <c r="E399" s="57" t="s">
        <v>96</v>
      </c>
      <c r="F399" s="57" t="s">
        <v>277</v>
      </c>
      <c r="G399" s="91">
        <f>'прил.8'!G397</f>
        <v>12645</v>
      </c>
      <c r="H399" s="91">
        <f>'прил.8'!H397</f>
        <v>17.2</v>
      </c>
      <c r="I399" s="91">
        <f t="shared" si="44"/>
        <v>12662.2</v>
      </c>
      <c r="J399" s="91">
        <f>'прил.8'!J397</f>
        <v>489.2</v>
      </c>
      <c r="K399" s="91">
        <f t="shared" si="47"/>
        <v>13151.400000000001</v>
      </c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1:23" ht="33">
      <c r="A400" s="123" t="s">
        <v>730</v>
      </c>
      <c r="B400" s="68">
        <v>841</v>
      </c>
      <c r="C400" s="57" t="s">
        <v>625</v>
      </c>
      <c r="D400" s="57" t="s">
        <v>106</v>
      </c>
      <c r="E400" s="57" t="s">
        <v>483</v>
      </c>
      <c r="F400" s="57"/>
      <c r="G400" s="91">
        <f>G401+G407</f>
        <v>110470.8</v>
      </c>
      <c r="H400" s="91">
        <f>H401+H407</f>
        <v>-13200</v>
      </c>
      <c r="I400" s="91">
        <f t="shared" si="44"/>
        <v>97270.8</v>
      </c>
      <c r="J400" s="91">
        <f>J401+J407</f>
        <v>11000</v>
      </c>
      <c r="K400" s="91">
        <f t="shared" si="47"/>
        <v>108270.8</v>
      </c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1:23" ht="51" customHeight="1" hidden="1">
      <c r="A401" s="123" t="s">
        <v>123</v>
      </c>
      <c r="B401" s="68">
        <v>841</v>
      </c>
      <c r="C401" s="57" t="s">
        <v>625</v>
      </c>
      <c r="D401" s="57" t="s">
        <v>106</v>
      </c>
      <c r="E401" s="57" t="s">
        <v>120</v>
      </c>
      <c r="F401" s="57"/>
      <c r="G401" s="91">
        <f>G402</f>
        <v>0</v>
      </c>
      <c r="H401" s="91">
        <f>H402</f>
        <v>0</v>
      </c>
      <c r="I401" s="91">
        <f t="shared" si="44"/>
        <v>0</v>
      </c>
      <c r="J401" s="91">
        <f>J402</f>
        <v>0</v>
      </c>
      <c r="K401" s="91">
        <f t="shared" si="47"/>
        <v>0</v>
      </c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23" ht="33" hidden="1">
      <c r="A402" s="123" t="s">
        <v>484</v>
      </c>
      <c r="B402" s="68">
        <v>841</v>
      </c>
      <c r="C402" s="57" t="s">
        <v>625</v>
      </c>
      <c r="D402" s="57" t="s">
        <v>106</v>
      </c>
      <c r="E402" s="57" t="s">
        <v>485</v>
      </c>
      <c r="F402" s="57"/>
      <c r="G402" s="91">
        <f>SUM(G403:G406)</f>
        <v>0</v>
      </c>
      <c r="H402" s="91">
        <f>SUM(H403:H406)</f>
        <v>0</v>
      </c>
      <c r="I402" s="91">
        <f t="shared" si="44"/>
        <v>0</v>
      </c>
      <c r="J402" s="91">
        <f>SUM(J403:J406)</f>
        <v>0</v>
      </c>
      <c r="K402" s="91">
        <f t="shared" si="47"/>
        <v>0</v>
      </c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1:23" ht="33" hidden="1">
      <c r="A403" s="123" t="s">
        <v>0</v>
      </c>
      <c r="B403" s="68">
        <v>841</v>
      </c>
      <c r="C403" s="57" t="s">
        <v>625</v>
      </c>
      <c r="D403" s="57" t="s">
        <v>106</v>
      </c>
      <c r="E403" s="57" t="s">
        <v>485</v>
      </c>
      <c r="F403" s="57" t="s">
        <v>135</v>
      </c>
      <c r="G403" s="91">
        <f>'прил.8'!G1129</f>
        <v>0</v>
      </c>
      <c r="H403" s="91">
        <f>'прил.8'!H1129</f>
        <v>0</v>
      </c>
      <c r="I403" s="91">
        <f t="shared" si="44"/>
        <v>0</v>
      </c>
      <c r="J403" s="91">
        <f>'прил.8'!J1129</f>
        <v>0</v>
      </c>
      <c r="K403" s="91">
        <f t="shared" si="47"/>
        <v>0</v>
      </c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 spans="1:23" ht="33" hidden="1">
      <c r="A404" s="123" t="s">
        <v>424</v>
      </c>
      <c r="B404" s="68">
        <v>841</v>
      </c>
      <c r="C404" s="57" t="s">
        <v>625</v>
      </c>
      <c r="D404" s="57" t="s">
        <v>106</v>
      </c>
      <c r="E404" s="57" t="s">
        <v>485</v>
      </c>
      <c r="F404" s="57" t="s">
        <v>136</v>
      </c>
      <c r="G404" s="91">
        <f>'прил.8'!G1130</f>
        <v>0</v>
      </c>
      <c r="H404" s="91">
        <f>'прил.8'!H1130</f>
        <v>0</v>
      </c>
      <c r="I404" s="91">
        <f t="shared" si="44"/>
        <v>0</v>
      </c>
      <c r="J404" s="91">
        <f>'прил.8'!J1130</f>
        <v>0</v>
      </c>
      <c r="K404" s="91">
        <f t="shared" si="47"/>
        <v>0</v>
      </c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 spans="1:23" ht="33" hidden="1">
      <c r="A405" s="123" t="s">
        <v>330</v>
      </c>
      <c r="B405" s="68">
        <v>841</v>
      </c>
      <c r="C405" s="57" t="s">
        <v>625</v>
      </c>
      <c r="D405" s="57" t="s">
        <v>106</v>
      </c>
      <c r="E405" s="57" t="s">
        <v>485</v>
      </c>
      <c r="F405" s="57" t="s">
        <v>137</v>
      </c>
      <c r="G405" s="91">
        <f>'прил.8'!G1131</f>
        <v>0</v>
      </c>
      <c r="H405" s="91">
        <f>'прил.8'!H1131</f>
        <v>0</v>
      </c>
      <c r="I405" s="91">
        <f t="shared" si="44"/>
        <v>0</v>
      </c>
      <c r="J405" s="91">
        <f>'прил.8'!J1131</f>
        <v>0</v>
      </c>
      <c r="K405" s="91">
        <f t="shared" si="47"/>
        <v>0</v>
      </c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 spans="1:23" ht="33" hidden="1">
      <c r="A406" s="123" t="s">
        <v>331</v>
      </c>
      <c r="B406" s="68">
        <v>841</v>
      </c>
      <c r="C406" s="57" t="s">
        <v>625</v>
      </c>
      <c r="D406" s="57" t="s">
        <v>106</v>
      </c>
      <c r="E406" s="57" t="s">
        <v>485</v>
      </c>
      <c r="F406" s="57" t="s">
        <v>138</v>
      </c>
      <c r="G406" s="91">
        <f>'прил.8'!G1132</f>
        <v>0</v>
      </c>
      <c r="H406" s="91">
        <f>'прил.8'!H1132</f>
        <v>0</v>
      </c>
      <c r="I406" s="91">
        <f t="shared" si="44"/>
        <v>0</v>
      </c>
      <c r="J406" s="91">
        <f>'прил.8'!J1132</f>
        <v>0</v>
      </c>
      <c r="K406" s="91">
        <f t="shared" si="47"/>
        <v>0</v>
      </c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1:23" ht="16.5">
      <c r="A407" s="123" t="s">
        <v>844</v>
      </c>
      <c r="B407" s="68">
        <v>841</v>
      </c>
      <c r="C407" s="57" t="s">
        <v>625</v>
      </c>
      <c r="D407" s="57" t="s">
        <v>106</v>
      </c>
      <c r="E407" s="57" t="s">
        <v>33</v>
      </c>
      <c r="F407" s="57"/>
      <c r="G407" s="91">
        <f>G408+G412+G414+G416</f>
        <v>110470.8</v>
      </c>
      <c r="H407" s="91">
        <f>H408+H412+H414+H416</f>
        <v>-13200</v>
      </c>
      <c r="I407" s="91">
        <f t="shared" si="44"/>
        <v>97270.8</v>
      </c>
      <c r="J407" s="91">
        <f>J408+J412+J414+J416+J410</f>
        <v>11000</v>
      </c>
      <c r="K407" s="91">
        <f t="shared" si="47"/>
        <v>108270.8</v>
      </c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1:23" ht="16.5">
      <c r="A408" s="123" t="s">
        <v>739</v>
      </c>
      <c r="B408" s="68">
        <v>841</v>
      </c>
      <c r="C408" s="57" t="s">
        <v>625</v>
      </c>
      <c r="D408" s="57" t="s">
        <v>106</v>
      </c>
      <c r="E408" s="57" t="s">
        <v>36</v>
      </c>
      <c r="F408" s="57"/>
      <c r="G408" s="91">
        <f>G409</f>
        <v>5070.8</v>
      </c>
      <c r="H408" s="91">
        <f>H409</f>
        <v>-3500</v>
      </c>
      <c r="I408" s="91">
        <f t="shared" si="44"/>
        <v>1570.8000000000002</v>
      </c>
      <c r="J408" s="91">
        <f>J409</f>
        <v>0</v>
      </c>
      <c r="K408" s="91">
        <f t="shared" si="47"/>
        <v>1570.8000000000002</v>
      </c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1:23" ht="16.5">
      <c r="A409" s="127" t="s">
        <v>763</v>
      </c>
      <c r="B409" s="68">
        <v>841</v>
      </c>
      <c r="C409" s="57" t="s">
        <v>625</v>
      </c>
      <c r="D409" s="57" t="s">
        <v>106</v>
      </c>
      <c r="E409" s="57" t="s">
        <v>36</v>
      </c>
      <c r="F409" s="57" t="s">
        <v>49</v>
      </c>
      <c r="G409" s="91">
        <f>'прил.8'!G1135</f>
        <v>5070.8</v>
      </c>
      <c r="H409" s="91">
        <f>'прил.8'!H1135</f>
        <v>-3500</v>
      </c>
      <c r="I409" s="91">
        <f t="shared" si="44"/>
        <v>1570.8000000000002</v>
      </c>
      <c r="J409" s="91">
        <f>'прил.8'!J1135</f>
        <v>0</v>
      </c>
      <c r="K409" s="91">
        <f t="shared" si="47"/>
        <v>1570.8000000000002</v>
      </c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1:23" ht="19.5" customHeight="1">
      <c r="A410" s="135" t="s">
        <v>812</v>
      </c>
      <c r="B410" s="68"/>
      <c r="C410" s="67" t="s">
        <v>625</v>
      </c>
      <c r="D410" s="67" t="s">
        <v>106</v>
      </c>
      <c r="E410" s="67" t="s">
        <v>35</v>
      </c>
      <c r="F410" s="67"/>
      <c r="G410" s="91"/>
      <c r="H410" s="91"/>
      <c r="I410" s="91"/>
      <c r="J410" s="91">
        <f>J411</f>
        <v>1000</v>
      </c>
      <c r="K410" s="91">
        <f t="shared" si="47"/>
        <v>1000</v>
      </c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 spans="1:23" ht="16.5">
      <c r="A411" s="135" t="s">
        <v>492</v>
      </c>
      <c r="B411" s="68"/>
      <c r="C411" s="67" t="s">
        <v>625</v>
      </c>
      <c r="D411" s="67" t="s">
        <v>106</v>
      </c>
      <c r="E411" s="67" t="s">
        <v>35</v>
      </c>
      <c r="F411" s="67" t="s">
        <v>49</v>
      </c>
      <c r="G411" s="91"/>
      <c r="H411" s="91"/>
      <c r="I411" s="91"/>
      <c r="J411" s="91">
        <f>'прил.8'!J1137</f>
        <v>1000</v>
      </c>
      <c r="K411" s="91">
        <f t="shared" si="47"/>
        <v>1000</v>
      </c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1:23" ht="49.5">
      <c r="A412" s="127" t="s">
        <v>782</v>
      </c>
      <c r="B412" s="68">
        <v>841</v>
      </c>
      <c r="C412" s="57" t="s">
        <v>625</v>
      </c>
      <c r="D412" s="57" t="s">
        <v>106</v>
      </c>
      <c r="E412" s="57" t="s">
        <v>41</v>
      </c>
      <c r="F412" s="57"/>
      <c r="G412" s="91">
        <f>G413</f>
        <v>91700</v>
      </c>
      <c r="H412" s="91">
        <f>H413</f>
        <v>0</v>
      </c>
      <c r="I412" s="91">
        <f t="shared" si="44"/>
        <v>91700</v>
      </c>
      <c r="J412" s="91">
        <f>J413</f>
        <v>0</v>
      </c>
      <c r="K412" s="91">
        <f t="shared" si="47"/>
        <v>91700</v>
      </c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 spans="1:23" ht="16.5">
      <c r="A413" s="127" t="s">
        <v>763</v>
      </c>
      <c r="B413" s="68">
        <v>841</v>
      </c>
      <c r="C413" s="57" t="s">
        <v>625</v>
      </c>
      <c r="D413" s="57" t="s">
        <v>106</v>
      </c>
      <c r="E413" s="57" t="s">
        <v>41</v>
      </c>
      <c r="F413" s="57" t="s">
        <v>49</v>
      </c>
      <c r="G413" s="91">
        <f>'прил.8'!G1139</f>
        <v>91700</v>
      </c>
      <c r="H413" s="91">
        <f>'прил.8'!H1139</f>
        <v>0</v>
      </c>
      <c r="I413" s="91">
        <f t="shared" si="44"/>
        <v>91700</v>
      </c>
      <c r="J413" s="91">
        <f>'прил.8'!J1139</f>
        <v>0</v>
      </c>
      <c r="K413" s="91">
        <f t="shared" si="47"/>
        <v>91700</v>
      </c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 spans="1:23" ht="16.5">
      <c r="A414" s="127" t="s">
        <v>640</v>
      </c>
      <c r="B414" s="68">
        <v>841</v>
      </c>
      <c r="C414" s="57" t="s">
        <v>625</v>
      </c>
      <c r="D414" s="57" t="s">
        <v>106</v>
      </c>
      <c r="E414" s="57" t="s">
        <v>42</v>
      </c>
      <c r="F414" s="57"/>
      <c r="G414" s="91">
        <f>G415</f>
        <v>10700</v>
      </c>
      <c r="H414" s="91">
        <f>H415</f>
        <v>-9700</v>
      </c>
      <c r="I414" s="91">
        <f t="shared" si="44"/>
        <v>1000</v>
      </c>
      <c r="J414" s="91">
        <f>J415</f>
        <v>10000</v>
      </c>
      <c r="K414" s="91">
        <f t="shared" si="47"/>
        <v>11000</v>
      </c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 spans="1:23" ht="16.5">
      <c r="A415" s="127" t="s">
        <v>763</v>
      </c>
      <c r="B415" s="68">
        <v>841</v>
      </c>
      <c r="C415" s="57" t="s">
        <v>625</v>
      </c>
      <c r="D415" s="57" t="s">
        <v>106</v>
      </c>
      <c r="E415" s="57" t="s">
        <v>42</v>
      </c>
      <c r="F415" s="57" t="s">
        <v>49</v>
      </c>
      <c r="G415" s="91">
        <f>'прил.8'!G1141</f>
        <v>10700</v>
      </c>
      <c r="H415" s="91">
        <f>'прил.8'!H1141</f>
        <v>-9700</v>
      </c>
      <c r="I415" s="91">
        <f t="shared" si="44"/>
        <v>1000</v>
      </c>
      <c r="J415" s="91">
        <f>'прил.8'!J1141</f>
        <v>10000</v>
      </c>
      <c r="K415" s="91">
        <f t="shared" si="47"/>
        <v>11000</v>
      </c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 spans="1:23" ht="16.5">
      <c r="A416" s="135" t="s">
        <v>363</v>
      </c>
      <c r="B416" s="68"/>
      <c r="C416" s="57" t="s">
        <v>625</v>
      </c>
      <c r="D416" s="57" t="s">
        <v>106</v>
      </c>
      <c r="E416" s="57" t="s">
        <v>346</v>
      </c>
      <c r="F416" s="57"/>
      <c r="G416" s="91">
        <f>G417</f>
        <v>3000</v>
      </c>
      <c r="H416" s="91">
        <f>H417</f>
        <v>0</v>
      </c>
      <c r="I416" s="91">
        <f t="shared" si="44"/>
        <v>3000</v>
      </c>
      <c r="J416" s="91">
        <f>J417</f>
        <v>0</v>
      </c>
      <c r="K416" s="91">
        <f t="shared" si="47"/>
        <v>3000</v>
      </c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1:23" ht="16.5">
      <c r="A417" s="127" t="s">
        <v>763</v>
      </c>
      <c r="B417" s="68"/>
      <c r="C417" s="57" t="s">
        <v>625</v>
      </c>
      <c r="D417" s="57" t="s">
        <v>106</v>
      </c>
      <c r="E417" s="57" t="s">
        <v>346</v>
      </c>
      <c r="F417" s="57" t="s">
        <v>49</v>
      </c>
      <c r="G417" s="91">
        <f>'прил.8'!G1143</f>
        <v>3000</v>
      </c>
      <c r="H417" s="91">
        <f>'прил.8'!H1143</f>
        <v>0</v>
      </c>
      <c r="I417" s="91">
        <f t="shared" si="44"/>
        <v>3000</v>
      </c>
      <c r="J417" s="91">
        <f>'прил.8'!J1143</f>
        <v>0</v>
      </c>
      <c r="K417" s="91">
        <f t="shared" si="47"/>
        <v>3000</v>
      </c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 spans="1:23" ht="51" customHeight="1">
      <c r="A418" s="123" t="s">
        <v>783</v>
      </c>
      <c r="B418" s="68">
        <v>805</v>
      </c>
      <c r="C418" s="57" t="s">
        <v>625</v>
      </c>
      <c r="D418" s="57" t="s">
        <v>106</v>
      </c>
      <c r="E418" s="57" t="s">
        <v>648</v>
      </c>
      <c r="F418" s="57"/>
      <c r="G418" s="91">
        <f>G419+G421</f>
        <v>47975.9</v>
      </c>
      <c r="H418" s="91">
        <f>H419+H421</f>
        <v>57.8</v>
      </c>
      <c r="I418" s="91">
        <f t="shared" si="44"/>
        <v>48033.700000000004</v>
      </c>
      <c r="J418" s="91">
        <f>J419+J421</f>
        <v>3729.4</v>
      </c>
      <c r="K418" s="91">
        <f t="shared" si="47"/>
        <v>51763.100000000006</v>
      </c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1:23" ht="16.5">
      <c r="A419" s="121" t="s">
        <v>677</v>
      </c>
      <c r="B419" s="68">
        <v>805</v>
      </c>
      <c r="C419" s="57" t="s">
        <v>625</v>
      </c>
      <c r="D419" s="57" t="s">
        <v>106</v>
      </c>
      <c r="E419" s="57" t="s">
        <v>597</v>
      </c>
      <c r="F419" s="57"/>
      <c r="G419" s="91">
        <f>G420</f>
        <v>469.3</v>
      </c>
      <c r="H419" s="91">
        <f>H420</f>
        <v>0</v>
      </c>
      <c r="I419" s="91">
        <f t="shared" si="44"/>
        <v>469.3</v>
      </c>
      <c r="J419" s="91">
        <f>J420</f>
        <v>0</v>
      </c>
      <c r="K419" s="91">
        <f t="shared" si="47"/>
        <v>469.3</v>
      </c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 spans="1:23" ht="16.5">
      <c r="A420" s="123" t="s">
        <v>63</v>
      </c>
      <c r="B420" s="68">
        <v>805</v>
      </c>
      <c r="C420" s="57" t="s">
        <v>625</v>
      </c>
      <c r="D420" s="57" t="s">
        <v>106</v>
      </c>
      <c r="E420" s="57" t="s">
        <v>597</v>
      </c>
      <c r="F420" s="57" t="s">
        <v>660</v>
      </c>
      <c r="G420" s="91">
        <f>'прил.8'!G400</f>
        <v>469.3</v>
      </c>
      <c r="H420" s="91">
        <f>'прил.8'!H400</f>
        <v>0</v>
      </c>
      <c r="I420" s="91">
        <f t="shared" si="44"/>
        <v>469.3</v>
      </c>
      <c r="J420" s="91">
        <f>'прил.8'!J400</f>
        <v>0</v>
      </c>
      <c r="K420" s="91">
        <f t="shared" si="47"/>
        <v>469.3</v>
      </c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 spans="1:23" ht="16.5">
      <c r="A421" s="121" t="s">
        <v>655</v>
      </c>
      <c r="B421" s="68">
        <v>805</v>
      </c>
      <c r="C421" s="57" t="s">
        <v>625</v>
      </c>
      <c r="D421" s="57" t="s">
        <v>106</v>
      </c>
      <c r="E421" s="57" t="s">
        <v>649</v>
      </c>
      <c r="F421" s="57"/>
      <c r="G421" s="91">
        <f>G422</f>
        <v>47506.6</v>
      </c>
      <c r="H421" s="91">
        <f>H422</f>
        <v>57.8</v>
      </c>
      <c r="I421" s="91">
        <f t="shared" si="44"/>
        <v>47564.4</v>
      </c>
      <c r="J421" s="91">
        <f>J422</f>
        <v>3729.4</v>
      </c>
      <c r="K421" s="91">
        <f t="shared" si="47"/>
        <v>51293.8</v>
      </c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1:23" ht="16.5">
      <c r="A422" s="123" t="s">
        <v>63</v>
      </c>
      <c r="B422" s="68">
        <v>805</v>
      </c>
      <c r="C422" s="57" t="s">
        <v>625</v>
      </c>
      <c r="D422" s="57" t="s">
        <v>106</v>
      </c>
      <c r="E422" s="57" t="s">
        <v>649</v>
      </c>
      <c r="F422" s="57" t="s">
        <v>660</v>
      </c>
      <c r="G422" s="91">
        <f>'прил.8'!G402+'прил.8'!G1022</f>
        <v>47506.6</v>
      </c>
      <c r="H422" s="91">
        <f>'прил.8'!H402+'прил.8'!H1022</f>
        <v>57.8</v>
      </c>
      <c r="I422" s="91">
        <f t="shared" si="44"/>
        <v>47564.4</v>
      </c>
      <c r="J422" s="91">
        <f>'прил.8'!J402+'прил.8'!J1022</f>
        <v>3729.4</v>
      </c>
      <c r="K422" s="91">
        <f t="shared" si="47"/>
        <v>51293.8</v>
      </c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 spans="1:23" ht="19.5" customHeight="1">
      <c r="A423" s="123" t="s">
        <v>470</v>
      </c>
      <c r="B423" s="68">
        <v>805</v>
      </c>
      <c r="C423" s="57" t="s">
        <v>625</v>
      </c>
      <c r="D423" s="57" t="s">
        <v>106</v>
      </c>
      <c r="E423" s="57" t="s">
        <v>471</v>
      </c>
      <c r="F423" s="57"/>
      <c r="G423" s="91">
        <f>G424+G431+G429+G435+G437+G433+G439</f>
        <v>4708.8</v>
      </c>
      <c r="H423" s="91">
        <f>H424+H431+H429+H435+H437+H433+H439</f>
        <v>0</v>
      </c>
      <c r="I423" s="91">
        <f t="shared" si="44"/>
        <v>4708.8</v>
      </c>
      <c r="J423" s="91">
        <f>J424+J431+J429+J435+J437+J433+J439</f>
        <v>0</v>
      </c>
      <c r="K423" s="91">
        <f t="shared" si="47"/>
        <v>4708.8</v>
      </c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 spans="1:23" ht="38.25" customHeight="1" hidden="1">
      <c r="A424" s="127" t="s">
        <v>344</v>
      </c>
      <c r="B424" s="68"/>
      <c r="C424" s="57" t="s">
        <v>625</v>
      </c>
      <c r="D424" s="57" t="s">
        <v>106</v>
      </c>
      <c r="E424" s="57" t="s">
        <v>342</v>
      </c>
      <c r="F424" s="57"/>
      <c r="G424" s="91">
        <f>G425+G427</f>
        <v>0</v>
      </c>
      <c r="H424" s="91">
        <f>H425+H427</f>
        <v>0</v>
      </c>
      <c r="I424" s="91">
        <f t="shared" si="44"/>
        <v>0</v>
      </c>
      <c r="J424" s="91">
        <f>J425+J427</f>
        <v>0</v>
      </c>
      <c r="K424" s="91">
        <f t="shared" si="47"/>
        <v>0</v>
      </c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 spans="1:23" ht="51" customHeight="1" hidden="1">
      <c r="A425" s="127" t="s">
        <v>345</v>
      </c>
      <c r="B425" s="68">
        <v>805</v>
      </c>
      <c r="C425" s="57" t="s">
        <v>625</v>
      </c>
      <c r="D425" s="57" t="s">
        <v>106</v>
      </c>
      <c r="E425" s="57" t="s">
        <v>368</v>
      </c>
      <c r="F425" s="57"/>
      <c r="G425" s="91">
        <f>G426</f>
        <v>0</v>
      </c>
      <c r="H425" s="91">
        <f>H426</f>
        <v>0</v>
      </c>
      <c r="I425" s="91">
        <f t="shared" si="44"/>
        <v>0</v>
      </c>
      <c r="J425" s="91">
        <f>J426</f>
        <v>0</v>
      </c>
      <c r="K425" s="91">
        <f t="shared" si="47"/>
        <v>0</v>
      </c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1:23" ht="17.25" customHeight="1" hidden="1">
      <c r="A426" s="123" t="s">
        <v>618</v>
      </c>
      <c r="B426" s="68">
        <v>805</v>
      </c>
      <c r="C426" s="57" t="s">
        <v>625</v>
      </c>
      <c r="D426" s="57" t="s">
        <v>106</v>
      </c>
      <c r="E426" s="57" t="s">
        <v>368</v>
      </c>
      <c r="F426" s="57" t="s">
        <v>193</v>
      </c>
      <c r="G426" s="91">
        <f>'прил.8'!G406</f>
        <v>0</v>
      </c>
      <c r="H426" s="91">
        <f>'прил.8'!H406</f>
        <v>0</v>
      </c>
      <c r="I426" s="91">
        <f t="shared" si="44"/>
        <v>0</v>
      </c>
      <c r="J426" s="91">
        <f>'прил.8'!J406</f>
        <v>0</v>
      </c>
      <c r="K426" s="91">
        <f t="shared" si="47"/>
        <v>0</v>
      </c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 spans="1:23" ht="51" customHeight="1" hidden="1">
      <c r="A427" s="127" t="s">
        <v>614</v>
      </c>
      <c r="B427" s="68">
        <v>805</v>
      </c>
      <c r="C427" s="57" t="s">
        <v>625</v>
      </c>
      <c r="D427" s="57" t="s">
        <v>106</v>
      </c>
      <c r="E427" s="57" t="s">
        <v>369</v>
      </c>
      <c r="F427" s="57"/>
      <c r="G427" s="91">
        <f>G428</f>
        <v>0</v>
      </c>
      <c r="H427" s="91">
        <f>H428</f>
        <v>0</v>
      </c>
      <c r="I427" s="91">
        <f t="shared" si="44"/>
        <v>0</v>
      </c>
      <c r="J427" s="91">
        <f>J428</f>
        <v>0</v>
      </c>
      <c r="K427" s="91">
        <f t="shared" si="47"/>
        <v>0</v>
      </c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 spans="1:23" ht="18.75" customHeight="1" hidden="1">
      <c r="A428" s="123" t="s">
        <v>618</v>
      </c>
      <c r="B428" s="68">
        <v>805</v>
      </c>
      <c r="C428" s="57" t="s">
        <v>625</v>
      </c>
      <c r="D428" s="57" t="s">
        <v>106</v>
      </c>
      <c r="E428" s="57" t="s">
        <v>369</v>
      </c>
      <c r="F428" s="57" t="s">
        <v>193</v>
      </c>
      <c r="G428" s="91">
        <f>'прил.8'!G408</f>
        <v>0</v>
      </c>
      <c r="H428" s="91">
        <f>'прил.8'!H408</f>
        <v>0</v>
      </c>
      <c r="I428" s="91">
        <f t="shared" si="44"/>
        <v>0</v>
      </c>
      <c r="J428" s="91">
        <f>'прил.8'!J408</f>
        <v>0</v>
      </c>
      <c r="K428" s="91">
        <f t="shared" si="47"/>
        <v>0</v>
      </c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 spans="1:23" ht="18.75" customHeight="1" hidden="1">
      <c r="A429" s="127" t="s">
        <v>4</v>
      </c>
      <c r="B429" s="68">
        <v>805</v>
      </c>
      <c r="C429" s="57" t="s">
        <v>625</v>
      </c>
      <c r="D429" s="57" t="s">
        <v>106</v>
      </c>
      <c r="E429" s="57" t="s">
        <v>371</v>
      </c>
      <c r="F429" s="57"/>
      <c r="G429" s="91">
        <f>G430</f>
        <v>0</v>
      </c>
      <c r="H429" s="91">
        <f>H430</f>
        <v>0</v>
      </c>
      <c r="I429" s="91">
        <f t="shared" si="44"/>
        <v>0</v>
      </c>
      <c r="J429" s="91">
        <f>J430</f>
        <v>0</v>
      </c>
      <c r="K429" s="91">
        <f t="shared" si="47"/>
        <v>0</v>
      </c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 spans="1:23" ht="18.75" customHeight="1" hidden="1">
      <c r="A430" s="123" t="s">
        <v>618</v>
      </c>
      <c r="B430" s="68">
        <v>805</v>
      </c>
      <c r="C430" s="57" t="s">
        <v>625</v>
      </c>
      <c r="D430" s="57" t="s">
        <v>106</v>
      </c>
      <c r="E430" s="57" t="s">
        <v>371</v>
      </c>
      <c r="F430" s="57" t="s">
        <v>193</v>
      </c>
      <c r="G430" s="91">
        <f>'прил.8'!G410</f>
        <v>0</v>
      </c>
      <c r="H430" s="91">
        <f>'прил.8'!H410</f>
        <v>0</v>
      </c>
      <c r="I430" s="91">
        <f t="shared" si="44"/>
        <v>0</v>
      </c>
      <c r="J430" s="91">
        <f>'прил.8'!J410</f>
        <v>0</v>
      </c>
      <c r="K430" s="91">
        <f t="shared" si="47"/>
        <v>0</v>
      </c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spans="1:23" ht="33" customHeight="1" hidden="1">
      <c r="A431" s="127" t="s">
        <v>3</v>
      </c>
      <c r="B431" s="68">
        <v>805</v>
      </c>
      <c r="C431" s="57" t="s">
        <v>625</v>
      </c>
      <c r="D431" s="57" t="s">
        <v>106</v>
      </c>
      <c r="E431" s="57" t="s">
        <v>370</v>
      </c>
      <c r="F431" s="57"/>
      <c r="G431" s="91">
        <f>G432</f>
        <v>0</v>
      </c>
      <c r="H431" s="91">
        <f>H432</f>
        <v>0</v>
      </c>
      <c r="I431" s="91">
        <f t="shared" si="44"/>
        <v>0</v>
      </c>
      <c r="J431" s="91">
        <f>J432</f>
        <v>0</v>
      </c>
      <c r="K431" s="91">
        <f t="shared" si="47"/>
        <v>0</v>
      </c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 spans="1:23" ht="19.5" customHeight="1" hidden="1">
      <c r="A432" s="123" t="s">
        <v>618</v>
      </c>
      <c r="B432" s="68">
        <v>805</v>
      </c>
      <c r="C432" s="57" t="s">
        <v>625</v>
      </c>
      <c r="D432" s="57" t="s">
        <v>106</v>
      </c>
      <c r="E432" s="57" t="s">
        <v>370</v>
      </c>
      <c r="F432" s="57" t="s">
        <v>193</v>
      </c>
      <c r="G432" s="91">
        <f>'прил.8'!G412</f>
        <v>0</v>
      </c>
      <c r="H432" s="91">
        <f>'прил.8'!H412</f>
        <v>0</v>
      </c>
      <c r="I432" s="91">
        <f t="shared" si="44"/>
        <v>0</v>
      </c>
      <c r="J432" s="91">
        <f>'прил.8'!J412</f>
        <v>0</v>
      </c>
      <c r="K432" s="91">
        <f t="shared" si="47"/>
        <v>0</v>
      </c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 spans="1:23" ht="34.5" customHeight="1">
      <c r="A433" s="120" t="s">
        <v>743</v>
      </c>
      <c r="B433" s="68"/>
      <c r="C433" s="57" t="s">
        <v>625</v>
      </c>
      <c r="D433" s="57" t="s">
        <v>106</v>
      </c>
      <c r="E433" s="57" t="s">
        <v>576</v>
      </c>
      <c r="F433" s="57"/>
      <c r="G433" s="91">
        <f>SUM(G434)</f>
        <v>2573</v>
      </c>
      <c r="H433" s="91">
        <f>SUM(H434)</f>
        <v>0</v>
      </c>
      <c r="I433" s="91">
        <f t="shared" si="44"/>
        <v>2573</v>
      </c>
      <c r="J433" s="91">
        <f>SUM(J434)</f>
        <v>0</v>
      </c>
      <c r="K433" s="91">
        <f t="shared" si="47"/>
        <v>2573</v>
      </c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 spans="1:23" ht="19.5" customHeight="1">
      <c r="A434" s="130" t="s">
        <v>619</v>
      </c>
      <c r="B434" s="68"/>
      <c r="C434" s="57" t="s">
        <v>625</v>
      </c>
      <c r="D434" s="57" t="s">
        <v>106</v>
      </c>
      <c r="E434" s="57" t="s">
        <v>576</v>
      </c>
      <c r="F434" s="57" t="s">
        <v>193</v>
      </c>
      <c r="G434" s="91">
        <f>'прил.8'!G414</f>
        <v>2573</v>
      </c>
      <c r="H434" s="91">
        <f>'прил.8'!H414</f>
        <v>0</v>
      </c>
      <c r="I434" s="91">
        <f t="shared" si="44"/>
        <v>2573</v>
      </c>
      <c r="J434" s="91">
        <f>'прил.8'!J414</f>
        <v>0</v>
      </c>
      <c r="K434" s="91">
        <f t="shared" si="47"/>
        <v>2573</v>
      </c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 spans="1:23" ht="49.5" hidden="1">
      <c r="A435" s="121" t="s">
        <v>300</v>
      </c>
      <c r="B435" s="68"/>
      <c r="C435" s="57" t="s">
        <v>625</v>
      </c>
      <c r="D435" s="57" t="s">
        <v>106</v>
      </c>
      <c r="E435" s="57" t="s">
        <v>288</v>
      </c>
      <c r="F435" s="57"/>
      <c r="G435" s="91">
        <f>G436</f>
        <v>0</v>
      </c>
      <c r="H435" s="91">
        <f>H436</f>
        <v>0</v>
      </c>
      <c r="I435" s="91">
        <f t="shared" si="44"/>
        <v>0</v>
      </c>
      <c r="J435" s="91">
        <f>J436</f>
        <v>0</v>
      </c>
      <c r="K435" s="91">
        <f t="shared" si="47"/>
        <v>0</v>
      </c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 spans="1:23" ht="16.5" hidden="1">
      <c r="A436" s="127" t="s">
        <v>68</v>
      </c>
      <c r="B436" s="68"/>
      <c r="C436" s="57" t="s">
        <v>625</v>
      </c>
      <c r="D436" s="57" t="s">
        <v>106</v>
      </c>
      <c r="E436" s="57" t="s">
        <v>288</v>
      </c>
      <c r="F436" s="57" t="s">
        <v>135</v>
      </c>
      <c r="G436" s="91"/>
      <c r="H436" s="91"/>
      <c r="I436" s="91">
        <f t="shared" si="44"/>
        <v>0</v>
      </c>
      <c r="J436" s="91"/>
      <c r="K436" s="91">
        <f t="shared" si="47"/>
        <v>0</v>
      </c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 spans="1:23" ht="34.5" customHeight="1">
      <c r="A437" s="136" t="s">
        <v>828</v>
      </c>
      <c r="B437" s="68"/>
      <c r="C437" s="57" t="s">
        <v>625</v>
      </c>
      <c r="D437" s="57" t="s">
        <v>106</v>
      </c>
      <c r="E437" s="57" t="s">
        <v>546</v>
      </c>
      <c r="F437" s="62"/>
      <c r="G437" s="91">
        <f>G438</f>
        <v>159</v>
      </c>
      <c r="H437" s="91">
        <f>H438</f>
        <v>0</v>
      </c>
      <c r="I437" s="91">
        <f aca="true" t="shared" si="49" ref="I437:I500">G437+H437</f>
        <v>159</v>
      </c>
      <c r="J437" s="91">
        <f>J438</f>
        <v>0</v>
      </c>
      <c r="K437" s="91">
        <f aca="true" t="shared" si="50" ref="K437:K500">I437+J437</f>
        <v>159</v>
      </c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 spans="1:23" ht="16.5">
      <c r="A438" s="130" t="s">
        <v>619</v>
      </c>
      <c r="B438" s="68"/>
      <c r="C438" s="57" t="s">
        <v>625</v>
      </c>
      <c r="D438" s="57" t="s">
        <v>106</v>
      </c>
      <c r="E438" s="57" t="s">
        <v>546</v>
      </c>
      <c r="F438" s="62" t="s">
        <v>193</v>
      </c>
      <c r="G438" s="91">
        <f>'прил.8'!G638</f>
        <v>159</v>
      </c>
      <c r="H438" s="91">
        <f>'прил.8'!H638</f>
        <v>0</v>
      </c>
      <c r="I438" s="91">
        <f t="shared" si="49"/>
        <v>159</v>
      </c>
      <c r="J438" s="91">
        <f>'прил.8'!J638</f>
        <v>0</v>
      </c>
      <c r="K438" s="91">
        <f t="shared" si="50"/>
        <v>159</v>
      </c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 spans="1:23" ht="35.25" customHeight="1">
      <c r="A439" s="120" t="s">
        <v>518</v>
      </c>
      <c r="B439" s="68"/>
      <c r="C439" s="57" t="s">
        <v>625</v>
      </c>
      <c r="D439" s="57" t="s">
        <v>106</v>
      </c>
      <c r="E439" s="57" t="s">
        <v>553</v>
      </c>
      <c r="F439" s="62"/>
      <c r="G439" s="91">
        <f>G440</f>
        <v>1976.8</v>
      </c>
      <c r="H439" s="91">
        <f>H440</f>
        <v>0</v>
      </c>
      <c r="I439" s="91">
        <f t="shared" si="49"/>
        <v>1976.8</v>
      </c>
      <c r="J439" s="91">
        <f>J440</f>
        <v>0</v>
      </c>
      <c r="K439" s="91">
        <f t="shared" si="50"/>
        <v>1976.8</v>
      </c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1:23" ht="16.5">
      <c r="A440" s="130" t="s">
        <v>619</v>
      </c>
      <c r="B440" s="68"/>
      <c r="C440" s="57" t="s">
        <v>625</v>
      </c>
      <c r="D440" s="57" t="s">
        <v>106</v>
      </c>
      <c r="E440" s="57" t="s">
        <v>553</v>
      </c>
      <c r="F440" s="62" t="s">
        <v>193</v>
      </c>
      <c r="G440" s="91">
        <f>'прил.8'!G416</f>
        <v>1976.8</v>
      </c>
      <c r="H440" s="91">
        <f>'прил.8'!H416</f>
        <v>0</v>
      </c>
      <c r="I440" s="91">
        <f t="shared" si="49"/>
        <v>1976.8</v>
      </c>
      <c r="J440" s="91">
        <f>'прил.8'!J416</f>
        <v>0</v>
      </c>
      <c r="K440" s="91">
        <f t="shared" si="50"/>
        <v>1976.8</v>
      </c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spans="1:23" ht="16.5">
      <c r="A441" s="123" t="s">
        <v>718</v>
      </c>
      <c r="B441" s="68"/>
      <c r="C441" s="57" t="s">
        <v>625</v>
      </c>
      <c r="D441" s="57" t="s">
        <v>106</v>
      </c>
      <c r="E441" s="57" t="s">
        <v>80</v>
      </c>
      <c r="F441" s="57"/>
      <c r="G441" s="91">
        <f aca="true" t="shared" si="51" ref="G441:J442">G442</f>
        <v>5034.9</v>
      </c>
      <c r="H441" s="91">
        <f t="shared" si="51"/>
        <v>0</v>
      </c>
      <c r="I441" s="91">
        <f t="shared" si="49"/>
        <v>5034.9</v>
      </c>
      <c r="J441" s="91">
        <f t="shared" si="51"/>
        <v>0</v>
      </c>
      <c r="K441" s="91">
        <f t="shared" si="50"/>
        <v>5034.9</v>
      </c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1:23" ht="37.5" customHeight="1">
      <c r="A442" s="120" t="s">
        <v>186</v>
      </c>
      <c r="B442" s="68"/>
      <c r="C442" s="57" t="s">
        <v>625</v>
      </c>
      <c r="D442" s="57" t="s">
        <v>106</v>
      </c>
      <c r="E442" s="57" t="s">
        <v>256</v>
      </c>
      <c r="F442" s="57"/>
      <c r="G442" s="91">
        <f t="shared" si="51"/>
        <v>5034.9</v>
      </c>
      <c r="H442" s="91">
        <f t="shared" si="51"/>
        <v>0</v>
      </c>
      <c r="I442" s="91">
        <f t="shared" si="49"/>
        <v>5034.9</v>
      </c>
      <c r="J442" s="91">
        <f t="shared" si="51"/>
        <v>0</v>
      </c>
      <c r="K442" s="91">
        <f t="shared" si="50"/>
        <v>5034.9</v>
      </c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  <row r="443" spans="1:23" ht="16.5">
      <c r="A443" s="125" t="s">
        <v>711</v>
      </c>
      <c r="B443" s="68"/>
      <c r="C443" s="57" t="s">
        <v>625</v>
      </c>
      <c r="D443" s="57" t="s">
        <v>106</v>
      </c>
      <c r="E443" s="57" t="s">
        <v>256</v>
      </c>
      <c r="F443" s="57" t="s">
        <v>275</v>
      </c>
      <c r="G443" s="91">
        <f>'прил.8'!G419</f>
        <v>5034.9</v>
      </c>
      <c r="H443" s="91">
        <f>'прил.8'!H419</f>
        <v>0</v>
      </c>
      <c r="I443" s="91">
        <f t="shared" si="49"/>
        <v>5034.9</v>
      </c>
      <c r="J443" s="91">
        <f>'прил.8'!J419</f>
        <v>0</v>
      </c>
      <c r="K443" s="91">
        <f t="shared" si="50"/>
        <v>5034.9</v>
      </c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</row>
    <row r="444" spans="1:23" ht="16.5">
      <c r="A444" s="121" t="s">
        <v>441</v>
      </c>
      <c r="B444" s="68">
        <v>805</v>
      </c>
      <c r="C444" s="57" t="s">
        <v>625</v>
      </c>
      <c r="D444" s="57" t="s">
        <v>106</v>
      </c>
      <c r="E444" s="57" t="s">
        <v>433</v>
      </c>
      <c r="F444" s="57"/>
      <c r="G444" s="91">
        <f>G445+G452</f>
        <v>16871.2</v>
      </c>
      <c r="H444" s="91">
        <f>H445+H452</f>
        <v>2000</v>
      </c>
      <c r="I444" s="91">
        <f t="shared" si="49"/>
        <v>18871.2</v>
      </c>
      <c r="J444" s="91">
        <f>J445+J452</f>
        <v>1049.4</v>
      </c>
      <c r="K444" s="91">
        <f t="shared" si="50"/>
        <v>19920.600000000002</v>
      </c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</row>
    <row r="445" spans="1:23" ht="16.5">
      <c r="A445" s="121" t="s">
        <v>470</v>
      </c>
      <c r="B445" s="68"/>
      <c r="C445" s="57" t="s">
        <v>625</v>
      </c>
      <c r="D445" s="57" t="s">
        <v>106</v>
      </c>
      <c r="E445" s="57" t="s">
        <v>434</v>
      </c>
      <c r="F445" s="57"/>
      <c r="G445" s="91">
        <f>G446+G448+G450</f>
        <v>15135.800000000001</v>
      </c>
      <c r="H445" s="91">
        <f>H446+H448+H450</f>
        <v>2000</v>
      </c>
      <c r="I445" s="91">
        <f t="shared" si="49"/>
        <v>17135.800000000003</v>
      </c>
      <c r="J445" s="91">
        <f>J446+J448+J450</f>
        <v>1049.4</v>
      </c>
      <c r="K445" s="91">
        <f t="shared" si="50"/>
        <v>18185.200000000004</v>
      </c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</row>
    <row r="446" spans="1:23" ht="19.5" customHeight="1">
      <c r="A446" s="121" t="s">
        <v>279</v>
      </c>
      <c r="B446" s="68">
        <v>805</v>
      </c>
      <c r="C446" s="57" t="s">
        <v>647</v>
      </c>
      <c r="D446" s="57" t="s">
        <v>106</v>
      </c>
      <c r="E446" s="57" t="s">
        <v>446</v>
      </c>
      <c r="F446" s="57"/>
      <c r="G446" s="91">
        <f>G447</f>
        <v>1890</v>
      </c>
      <c r="H446" s="91">
        <f>H447</f>
        <v>0</v>
      </c>
      <c r="I446" s="91">
        <f t="shared" si="49"/>
        <v>1890</v>
      </c>
      <c r="J446" s="91">
        <f>J447</f>
        <v>3</v>
      </c>
      <c r="K446" s="91">
        <f t="shared" si="50"/>
        <v>1893</v>
      </c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</row>
    <row r="447" spans="1:23" ht="16.5">
      <c r="A447" s="123" t="s">
        <v>619</v>
      </c>
      <c r="B447" s="68">
        <v>805</v>
      </c>
      <c r="C447" s="57" t="s">
        <v>647</v>
      </c>
      <c r="D447" s="57" t="s">
        <v>106</v>
      </c>
      <c r="E447" s="57" t="s">
        <v>446</v>
      </c>
      <c r="F447" s="57" t="s">
        <v>193</v>
      </c>
      <c r="G447" s="91">
        <f>'прил.8'!G423+'прил.8'!G642</f>
        <v>1890</v>
      </c>
      <c r="H447" s="91">
        <f>'прил.8'!H423+'прил.8'!H642</f>
        <v>0</v>
      </c>
      <c r="I447" s="91">
        <f t="shared" si="49"/>
        <v>1890</v>
      </c>
      <c r="J447" s="91">
        <f>'прил.8'!J423+'прил.8'!J642</f>
        <v>3</v>
      </c>
      <c r="K447" s="91">
        <f t="shared" si="50"/>
        <v>1893</v>
      </c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</row>
    <row r="448" spans="1:23" ht="16.5" customHeight="1">
      <c r="A448" s="121" t="s">
        <v>9</v>
      </c>
      <c r="B448" s="68">
        <v>805</v>
      </c>
      <c r="C448" s="57" t="s">
        <v>647</v>
      </c>
      <c r="D448" s="57" t="s">
        <v>106</v>
      </c>
      <c r="E448" s="57" t="s">
        <v>442</v>
      </c>
      <c r="F448" s="57"/>
      <c r="G448" s="91">
        <f>G449</f>
        <v>1058.1</v>
      </c>
      <c r="H448" s="91">
        <f>H449</f>
        <v>0</v>
      </c>
      <c r="I448" s="91">
        <f t="shared" si="49"/>
        <v>1058.1</v>
      </c>
      <c r="J448" s="91">
        <f>J449</f>
        <v>0</v>
      </c>
      <c r="K448" s="91">
        <f t="shared" si="50"/>
        <v>1058.1</v>
      </c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</row>
    <row r="449" spans="1:23" ht="17.25" customHeight="1">
      <c r="A449" s="123" t="s">
        <v>619</v>
      </c>
      <c r="B449" s="68">
        <v>805</v>
      </c>
      <c r="C449" s="57" t="s">
        <v>647</v>
      </c>
      <c r="D449" s="57" t="s">
        <v>106</v>
      </c>
      <c r="E449" s="57" t="s">
        <v>442</v>
      </c>
      <c r="F449" s="57" t="s">
        <v>193</v>
      </c>
      <c r="G449" s="91">
        <f>'прил.8'!G425</f>
        <v>1058.1</v>
      </c>
      <c r="H449" s="91">
        <f>'прил.8'!H425</f>
        <v>0</v>
      </c>
      <c r="I449" s="91">
        <f t="shared" si="49"/>
        <v>1058.1</v>
      </c>
      <c r="J449" s="91">
        <f>'прил.8'!J425</f>
        <v>0</v>
      </c>
      <c r="K449" s="91">
        <f t="shared" si="50"/>
        <v>1058.1</v>
      </c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</row>
    <row r="450" spans="1:23" ht="17.25" customHeight="1">
      <c r="A450" s="121" t="s">
        <v>820</v>
      </c>
      <c r="B450" s="14">
        <v>809</v>
      </c>
      <c r="C450" s="62" t="s">
        <v>625</v>
      </c>
      <c r="D450" s="62" t="s">
        <v>106</v>
      </c>
      <c r="E450" s="57" t="s">
        <v>440</v>
      </c>
      <c r="F450" s="57"/>
      <c r="G450" s="91">
        <f>SUM(G451:G451)</f>
        <v>12187.7</v>
      </c>
      <c r="H450" s="91">
        <f>SUM(H451:H451)</f>
        <v>2000</v>
      </c>
      <c r="I450" s="91">
        <f t="shared" si="49"/>
        <v>14187.7</v>
      </c>
      <c r="J450" s="91">
        <f>SUM(J451:J451)</f>
        <v>1046.4</v>
      </c>
      <c r="K450" s="91">
        <f t="shared" si="50"/>
        <v>15234.1</v>
      </c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</row>
    <row r="451" spans="1:23" s="22" customFormat="1" ht="17.25" customHeight="1">
      <c r="A451" s="123" t="s">
        <v>619</v>
      </c>
      <c r="B451" s="68">
        <v>841</v>
      </c>
      <c r="C451" s="57" t="s">
        <v>625</v>
      </c>
      <c r="D451" s="57" t="s">
        <v>106</v>
      </c>
      <c r="E451" s="57" t="s">
        <v>440</v>
      </c>
      <c r="F451" s="57" t="s">
        <v>193</v>
      </c>
      <c r="G451" s="91">
        <f>'прил.8'!G427+'прил.8'!G743+'прил.8'!G1026</f>
        <v>12187.7</v>
      </c>
      <c r="H451" s="91">
        <f>'прил.8'!H427+'прил.8'!H743+'прил.8'!H1026</f>
        <v>2000</v>
      </c>
      <c r="I451" s="91">
        <f t="shared" si="49"/>
        <v>14187.7</v>
      </c>
      <c r="J451" s="91">
        <f>'прил.8'!J427+'прил.8'!J743+'прил.8'!J1026</f>
        <v>1046.4</v>
      </c>
      <c r="K451" s="91">
        <f t="shared" si="50"/>
        <v>15234.1</v>
      </c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</row>
    <row r="452" spans="1:11" s="13" customFormat="1" ht="17.25" customHeight="1">
      <c r="A452" s="123" t="s">
        <v>72</v>
      </c>
      <c r="B452" s="14"/>
      <c r="C452" s="62" t="s">
        <v>625</v>
      </c>
      <c r="D452" s="62" t="s">
        <v>106</v>
      </c>
      <c r="E452" s="57" t="s">
        <v>650</v>
      </c>
      <c r="F452" s="57"/>
      <c r="G452" s="91">
        <f aca="true" t="shared" si="52" ref="G452:J453">G453</f>
        <v>1735.4</v>
      </c>
      <c r="H452" s="91">
        <f t="shared" si="52"/>
        <v>0</v>
      </c>
      <c r="I452" s="91">
        <f t="shared" si="49"/>
        <v>1735.4</v>
      </c>
      <c r="J452" s="91">
        <f t="shared" si="52"/>
        <v>0</v>
      </c>
      <c r="K452" s="91">
        <f t="shared" si="50"/>
        <v>1735.4</v>
      </c>
    </row>
    <row r="453" spans="1:11" s="13" customFormat="1" ht="17.25" customHeight="1">
      <c r="A453" s="121" t="s">
        <v>784</v>
      </c>
      <c r="B453" s="14"/>
      <c r="C453" s="62" t="s">
        <v>625</v>
      </c>
      <c r="D453" s="62" t="s">
        <v>106</v>
      </c>
      <c r="E453" s="57" t="s">
        <v>447</v>
      </c>
      <c r="F453" s="57"/>
      <c r="G453" s="91">
        <f t="shared" si="52"/>
        <v>1735.4</v>
      </c>
      <c r="H453" s="91">
        <f t="shared" si="52"/>
        <v>0</v>
      </c>
      <c r="I453" s="91">
        <f t="shared" si="49"/>
        <v>1735.4</v>
      </c>
      <c r="J453" s="91">
        <f t="shared" si="52"/>
        <v>0</v>
      </c>
      <c r="K453" s="91">
        <f t="shared" si="50"/>
        <v>1735.4</v>
      </c>
    </row>
    <row r="454" spans="1:11" s="13" customFormat="1" ht="17.25" customHeight="1">
      <c r="A454" s="123" t="s">
        <v>619</v>
      </c>
      <c r="B454" s="14"/>
      <c r="C454" s="57" t="s">
        <v>625</v>
      </c>
      <c r="D454" s="57" t="s">
        <v>106</v>
      </c>
      <c r="E454" s="57" t="s">
        <v>447</v>
      </c>
      <c r="F454" s="57" t="s">
        <v>193</v>
      </c>
      <c r="G454" s="91">
        <f>'прил.8'!G430</f>
        <v>1735.4</v>
      </c>
      <c r="H454" s="91">
        <f>'прил.8'!H430</f>
        <v>0</v>
      </c>
      <c r="I454" s="91">
        <f t="shared" si="49"/>
        <v>1735.4</v>
      </c>
      <c r="J454" s="91">
        <f>'прил.8'!J430</f>
        <v>0</v>
      </c>
      <c r="K454" s="91">
        <f t="shared" si="50"/>
        <v>1735.4</v>
      </c>
    </row>
    <row r="455" spans="1:23" ht="16.5">
      <c r="A455" s="121" t="s">
        <v>378</v>
      </c>
      <c r="B455" s="58"/>
      <c r="C455" s="57" t="s">
        <v>109</v>
      </c>
      <c r="D455" s="57"/>
      <c r="E455" s="57"/>
      <c r="F455" s="57"/>
      <c r="G455" s="91">
        <f>G456+G493</f>
        <v>222880.90000000002</v>
      </c>
      <c r="H455" s="91">
        <f>H456+H493</f>
        <v>127.10000000000001</v>
      </c>
      <c r="I455" s="91">
        <f t="shared" si="49"/>
        <v>223008.00000000003</v>
      </c>
      <c r="J455" s="91">
        <f>J456+J493</f>
        <v>23450.5</v>
      </c>
      <c r="K455" s="91">
        <f t="shared" si="50"/>
        <v>246458.50000000003</v>
      </c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</row>
    <row r="456" spans="1:23" ht="16.5">
      <c r="A456" s="121" t="s">
        <v>785</v>
      </c>
      <c r="B456" s="68">
        <v>808</v>
      </c>
      <c r="C456" s="57" t="s">
        <v>109</v>
      </c>
      <c r="D456" s="57" t="s">
        <v>24</v>
      </c>
      <c r="E456" s="57"/>
      <c r="F456" s="57"/>
      <c r="G456" s="91">
        <f>G457+G466+G471+G476+G481+G484</f>
        <v>209583.00000000003</v>
      </c>
      <c r="H456" s="91">
        <f>H457+H466+H471+H476+H481+H484</f>
        <v>118.2</v>
      </c>
      <c r="I456" s="91">
        <f t="shared" si="49"/>
        <v>209701.20000000004</v>
      </c>
      <c r="J456" s="91">
        <f>J457+J466+J471+J476+J481+J484</f>
        <v>20503</v>
      </c>
      <c r="K456" s="91">
        <f t="shared" si="50"/>
        <v>230204.20000000004</v>
      </c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</row>
    <row r="457" spans="1:23" ht="17.25" customHeight="1">
      <c r="A457" s="123" t="s">
        <v>637</v>
      </c>
      <c r="B457" s="68">
        <v>808</v>
      </c>
      <c r="C457" s="57" t="s">
        <v>109</v>
      </c>
      <c r="D457" s="57" t="s">
        <v>24</v>
      </c>
      <c r="E457" s="57" t="s">
        <v>230</v>
      </c>
      <c r="F457" s="57"/>
      <c r="G457" s="91">
        <f>G460+G462+G458</f>
        <v>85786.2</v>
      </c>
      <c r="H457" s="91">
        <f>H460+H462+H458</f>
        <v>0</v>
      </c>
      <c r="I457" s="91">
        <f t="shared" si="49"/>
        <v>85786.2</v>
      </c>
      <c r="J457" s="91">
        <f>J460+J462+J458</f>
        <v>6916</v>
      </c>
      <c r="K457" s="91">
        <f t="shared" si="50"/>
        <v>92702.2</v>
      </c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</row>
    <row r="458" spans="1:23" ht="19.5" customHeight="1">
      <c r="A458" s="123" t="s">
        <v>350</v>
      </c>
      <c r="B458" s="68"/>
      <c r="C458" s="57" t="s">
        <v>109</v>
      </c>
      <c r="D458" s="57" t="s">
        <v>24</v>
      </c>
      <c r="E458" s="57" t="s">
        <v>353</v>
      </c>
      <c r="F458" s="57"/>
      <c r="G458" s="91">
        <f>G459</f>
        <v>5582.5</v>
      </c>
      <c r="H458" s="91">
        <f>H459</f>
        <v>0</v>
      </c>
      <c r="I458" s="91">
        <f t="shared" si="49"/>
        <v>5582.5</v>
      </c>
      <c r="J458" s="91">
        <f>J459</f>
        <v>-30.30000000000001</v>
      </c>
      <c r="K458" s="91">
        <f t="shared" si="50"/>
        <v>5552.2</v>
      </c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</row>
    <row r="459" spans="1:23" ht="33" customHeight="1">
      <c r="A459" s="127" t="s">
        <v>18</v>
      </c>
      <c r="B459" s="68"/>
      <c r="C459" s="57" t="s">
        <v>109</v>
      </c>
      <c r="D459" s="57" t="s">
        <v>24</v>
      </c>
      <c r="E459" s="57" t="s">
        <v>353</v>
      </c>
      <c r="F459" s="57" t="s">
        <v>375</v>
      </c>
      <c r="G459" s="91">
        <f>'прил.8'!G647</f>
        <v>5582.5</v>
      </c>
      <c r="H459" s="91">
        <f>'прил.8'!H647</f>
        <v>0</v>
      </c>
      <c r="I459" s="91">
        <f t="shared" si="49"/>
        <v>5582.5</v>
      </c>
      <c r="J459" s="91">
        <f>'прил.8'!J647</f>
        <v>-30.30000000000001</v>
      </c>
      <c r="K459" s="91">
        <f t="shared" si="50"/>
        <v>5552.2</v>
      </c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</row>
    <row r="460" spans="1:23" ht="16.5">
      <c r="A460" s="121" t="s">
        <v>677</v>
      </c>
      <c r="B460" s="68">
        <v>808</v>
      </c>
      <c r="C460" s="57" t="s">
        <v>109</v>
      </c>
      <c r="D460" s="57" t="s">
        <v>24</v>
      </c>
      <c r="E460" s="57" t="s">
        <v>602</v>
      </c>
      <c r="F460" s="57"/>
      <c r="G460" s="91">
        <f>G461</f>
        <v>1465</v>
      </c>
      <c r="H460" s="91">
        <f>H461</f>
        <v>0</v>
      </c>
      <c r="I460" s="91">
        <f t="shared" si="49"/>
        <v>1465</v>
      </c>
      <c r="J460" s="91">
        <f>J461</f>
        <v>0</v>
      </c>
      <c r="K460" s="91">
        <f t="shared" si="50"/>
        <v>1465</v>
      </c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</row>
    <row r="461" spans="1:23" ht="16.5">
      <c r="A461" s="123" t="s">
        <v>63</v>
      </c>
      <c r="B461" s="68">
        <v>808</v>
      </c>
      <c r="C461" s="57" t="s">
        <v>109</v>
      </c>
      <c r="D461" s="57" t="s">
        <v>24</v>
      </c>
      <c r="E461" s="57" t="s">
        <v>602</v>
      </c>
      <c r="F461" s="57" t="s">
        <v>660</v>
      </c>
      <c r="G461" s="91">
        <f>'прил.8'!G649</f>
        <v>1465</v>
      </c>
      <c r="H461" s="91">
        <f>'прил.8'!H649</f>
        <v>0</v>
      </c>
      <c r="I461" s="91">
        <f t="shared" si="49"/>
        <v>1465</v>
      </c>
      <c r="J461" s="91">
        <f>'прил.8'!J649</f>
        <v>0</v>
      </c>
      <c r="K461" s="91">
        <f t="shared" si="50"/>
        <v>1465</v>
      </c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</row>
    <row r="462" spans="1:23" ht="17.25" customHeight="1">
      <c r="A462" s="121" t="s">
        <v>655</v>
      </c>
      <c r="B462" s="68">
        <v>808</v>
      </c>
      <c r="C462" s="57" t="s">
        <v>109</v>
      </c>
      <c r="D462" s="57" t="s">
        <v>24</v>
      </c>
      <c r="E462" s="57" t="s">
        <v>231</v>
      </c>
      <c r="F462" s="57"/>
      <c r="G462" s="91">
        <f>G463+G464+G465</f>
        <v>78738.7</v>
      </c>
      <c r="H462" s="91">
        <f>H463</f>
        <v>0</v>
      </c>
      <c r="I462" s="91">
        <f t="shared" si="49"/>
        <v>78738.7</v>
      </c>
      <c r="J462" s="91">
        <f>J463</f>
        <v>6946.3</v>
      </c>
      <c r="K462" s="91">
        <f t="shared" si="50"/>
        <v>85685</v>
      </c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</row>
    <row r="463" spans="1:23" ht="18" customHeight="1">
      <c r="A463" s="123" t="s">
        <v>229</v>
      </c>
      <c r="B463" s="68">
        <v>808</v>
      </c>
      <c r="C463" s="57" t="s">
        <v>109</v>
      </c>
      <c r="D463" s="57" t="s">
        <v>24</v>
      </c>
      <c r="E463" s="57" t="s">
        <v>231</v>
      </c>
      <c r="F463" s="57" t="s">
        <v>660</v>
      </c>
      <c r="G463" s="91">
        <f>'прил.8'!G651</f>
        <v>78738.7</v>
      </c>
      <c r="H463" s="91">
        <f>'прил.8'!H651</f>
        <v>0</v>
      </c>
      <c r="I463" s="91">
        <f t="shared" si="49"/>
        <v>78738.7</v>
      </c>
      <c r="J463" s="91">
        <f>'прил.8'!J651</f>
        <v>6946.3</v>
      </c>
      <c r="K463" s="91">
        <f t="shared" si="50"/>
        <v>85685</v>
      </c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</row>
    <row r="464" spans="1:23" ht="33" customHeight="1" hidden="1">
      <c r="A464" s="117" t="s">
        <v>667</v>
      </c>
      <c r="B464" s="77">
        <v>808</v>
      </c>
      <c r="C464" s="63" t="s">
        <v>109</v>
      </c>
      <c r="D464" s="63" t="s">
        <v>24</v>
      </c>
      <c r="E464" s="63" t="s">
        <v>231</v>
      </c>
      <c r="F464" s="63" t="s">
        <v>666</v>
      </c>
      <c r="G464" s="91">
        <f>'прил.8'!G652</f>
        <v>0</v>
      </c>
      <c r="H464" s="91" t="str">
        <f>'прил.8'!H652</f>
        <v>  МУК "Камерный театр</v>
      </c>
      <c r="I464" s="91" t="e">
        <f t="shared" si="49"/>
        <v>#VALUE!</v>
      </c>
      <c r="J464" s="91">
        <f>'прил.8'!J652</f>
        <v>0</v>
      </c>
      <c r="K464" s="91" t="e">
        <f t="shared" si="50"/>
        <v>#VALUE!</v>
      </c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</row>
    <row r="465" spans="1:23" ht="18" customHeight="1" hidden="1">
      <c r="A465" s="118" t="s">
        <v>671</v>
      </c>
      <c r="B465" s="68">
        <v>808</v>
      </c>
      <c r="C465" s="57" t="s">
        <v>109</v>
      </c>
      <c r="D465" s="57" t="s">
        <v>24</v>
      </c>
      <c r="E465" s="57" t="s">
        <v>231</v>
      </c>
      <c r="F465" s="57" t="s">
        <v>672</v>
      </c>
      <c r="G465" s="91">
        <f>'прил.8'!G653</f>
        <v>0</v>
      </c>
      <c r="H465" s="91">
        <f>'прил.8'!H653</f>
        <v>0</v>
      </c>
      <c r="I465" s="91">
        <f t="shared" si="49"/>
        <v>0</v>
      </c>
      <c r="J465" s="91">
        <f>'прил.8'!J653</f>
        <v>0</v>
      </c>
      <c r="K465" s="91">
        <f t="shared" si="50"/>
        <v>0</v>
      </c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</row>
    <row r="466" spans="1:23" ht="16.5">
      <c r="A466" s="121" t="s">
        <v>786</v>
      </c>
      <c r="B466" s="68">
        <v>808</v>
      </c>
      <c r="C466" s="57" t="s">
        <v>109</v>
      </c>
      <c r="D466" s="57" t="s">
        <v>24</v>
      </c>
      <c r="E466" s="57" t="s">
        <v>232</v>
      </c>
      <c r="F466" s="57"/>
      <c r="G466" s="91">
        <f>G467+G469</f>
        <v>38799.799999999996</v>
      </c>
      <c r="H466" s="91">
        <f>H467+H469</f>
        <v>0</v>
      </c>
      <c r="I466" s="91">
        <f t="shared" si="49"/>
        <v>38799.799999999996</v>
      </c>
      <c r="J466" s="91">
        <f>J467+J469</f>
        <v>1997.3000000000002</v>
      </c>
      <c r="K466" s="91">
        <f t="shared" si="50"/>
        <v>40797.1</v>
      </c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</row>
    <row r="467" spans="1:23" ht="17.25" customHeight="1">
      <c r="A467" s="121" t="s">
        <v>677</v>
      </c>
      <c r="B467" s="68">
        <v>808</v>
      </c>
      <c r="C467" s="57" t="s">
        <v>109</v>
      </c>
      <c r="D467" s="57" t="s">
        <v>24</v>
      </c>
      <c r="E467" s="57" t="s">
        <v>603</v>
      </c>
      <c r="F467" s="57"/>
      <c r="G467" s="91">
        <f>G468</f>
        <v>1331.6</v>
      </c>
      <c r="H467" s="91">
        <f>H468</f>
        <v>0</v>
      </c>
      <c r="I467" s="91">
        <f t="shared" si="49"/>
        <v>1331.6</v>
      </c>
      <c r="J467" s="91">
        <f>J468</f>
        <v>0</v>
      </c>
      <c r="K467" s="91">
        <f t="shared" si="50"/>
        <v>1331.6</v>
      </c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</row>
    <row r="468" spans="1:23" ht="16.5">
      <c r="A468" s="123" t="s">
        <v>63</v>
      </c>
      <c r="B468" s="68">
        <v>808</v>
      </c>
      <c r="C468" s="57" t="s">
        <v>109</v>
      </c>
      <c r="D468" s="57" t="s">
        <v>24</v>
      </c>
      <c r="E468" s="57" t="s">
        <v>603</v>
      </c>
      <c r="F468" s="57" t="s">
        <v>660</v>
      </c>
      <c r="G468" s="91">
        <f>'прил.8'!G656</f>
        <v>1331.6</v>
      </c>
      <c r="H468" s="91">
        <f>'прил.8'!H656</f>
        <v>0</v>
      </c>
      <c r="I468" s="91">
        <f t="shared" si="49"/>
        <v>1331.6</v>
      </c>
      <c r="J468" s="91">
        <f>'прил.8'!J656</f>
        <v>0</v>
      </c>
      <c r="K468" s="91">
        <f t="shared" si="50"/>
        <v>1331.6</v>
      </c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</row>
    <row r="469" spans="1:23" ht="16.5">
      <c r="A469" s="121" t="s">
        <v>655</v>
      </c>
      <c r="B469" s="68">
        <v>808</v>
      </c>
      <c r="C469" s="57" t="s">
        <v>109</v>
      </c>
      <c r="D469" s="57" t="s">
        <v>24</v>
      </c>
      <c r="E469" s="57" t="s">
        <v>233</v>
      </c>
      <c r="F469" s="57"/>
      <c r="G469" s="91">
        <f>G470</f>
        <v>37468.2</v>
      </c>
      <c r="H469" s="91">
        <f>H470</f>
        <v>0</v>
      </c>
      <c r="I469" s="91">
        <f t="shared" si="49"/>
        <v>37468.2</v>
      </c>
      <c r="J469" s="91">
        <f>J470</f>
        <v>1997.3000000000002</v>
      </c>
      <c r="K469" s="91">
        <f t="shared" si="50"/>
        <v>39465.5</v>
      </c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</row>
    <row r="470" spans="1:23" ht="20.25" customHeight="1">
      <c r="A470" s="123" t="s">
        <v>63</v>
      </c>
      <c r="B470" s="68">
        <v>808</v>
      </c>
      <c r="C470" s="57" t="s">
        <v>109</v>
      </c>
      <c r="D470" s="57" t="s">
        <v>24</v>
      </c>
      <c r="E470" s="57" t="s">
        <v>233</v>
      </c>
      <c r="F470" s="57" t="s">
        <v>660</v>
      </c>
      <c r="G470" s="91">
        <f>'прил.8'!G658+'прил.8'!G1031</f>
        <v>37468.2</v>
      </c>
      <c r="H470" s="91">
        <f>'прил.8'!H658+'прил.8'!H1031</f>
        <v>0</v>
      </c>
      <c r="I470" s="91">
        <f t="shared" si="49"/>
        <v>37468.2</v>
      </c>
      <c r="J470" s="91">
        <f>'прил.8'!J658+'прил.8'!J1031</f>
        <v>1997.3000000000002</v>
      </c>
      <c r="K470" s="91">
        <f t="shared" si="50"/>
        <v>39465.5</v>
      </c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</row>
    <row r="471" spans="1:23" ht="16.5" customHeight="1">
      <c r="A471" s="121" t="s">
        <v>787</v>
      </c>
      <c r="B471" s="68">
        <v>808</v>
      </c>
      <c r="C471" s="57" t="s">
        <v>109</v>
      </c>
      <c r="D471" s="57" t="s">
        <v>24</v>
      </c>
      <c r="E471" s="57" t="s">
        <v>234</v>
      </c>
      <c r="F471" s="57"/>
      <c r="G471" s="91">
        <f>G472+G474</f>
        <v>40265.200000000004</v>
      </c>
      <c r="H471" s="91">
        <f>H472+H474</f>
        <v>110</v>
      </c>
      <c r="I471" s="91">
        <f t="shared" si="49"/>
        <v>40375.200000000004</v>
      </c>
      <c r="J471" s="91">
        <f>J472+J474</f>
        <v>3190.2000000000003</v>
      </c>
      <c r="K471" s="91">
        <f t="shared" si="50"/>
        <v>43565.4</v>
      </c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</row>
    <row r="472" spans="1:23" ht="16.5">
      <c r="A472" s="121" t="s">
        <v>677</v>
      </c>
      <c r="B472" s="68">
        <v>808</v>
      </c>
      <c r="C472" s="57" t="s">
        <v>109</v>
      </c>
      <c r="D472" s="57" t="s">
        <v>24</v>
      </c>
      <c r="E472" s="57" t="s">
        <v>616</v>
      </c>
      <c r="F472" s="57"/>
      <c r="G472" s="91">
        <f>G473</f>
        <v>459.3</v>
      </c>
      <c r="H472" s="91">
        <f>H473</f>
        <v>0</v>
      </c>
      <c r="I472" s="91">
        <f t="shared" si="49"/>
        <v>459.3</v>
      </c>
      <c r="J472" s="91">
        <f>J473</f>
        <v>0</v>
      </c>
      <c r="K472" s="91">
        <f t="shared" si="50"/>
        <v>459.3</v>
      </c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</row>
    <row r="473" spans="1:23" ht="17.25" customHeight="1">
      <c r="A473" s="123" t="s">
        <v>63</v>
      </c>
      <c r="B473" s="68">
        <v>808</v>
      </c>
      <c r="C473" s="57" t="s">
        <v>109</v>
      </c>
      <c r="D473" s="57" t="s">
        <v>24</v>
      </c>
      <c r="E473" s="57" t="s">
        <v>616</v>
      </c>
      <c r="F473" s="57" t="s">
        <v>660</v>
      </c>
      <c r="G473" s="91">
        <f>'прил.8'!G661</f>
        <v>459.3</v>
      </c>
      <c r="H473" s="91">
        <f>'прил.8'!H661</f>
        <v>0</v>
      </c>
      <c r="I473" s="91">
        <f t="shared" si="49"/>
        <v>459.3</v>
      </c>
      <c r="J473" s="91">
        <f>'прил.8'!J661</f>
        <v>0</v>
      </c>
      <c r="K473" s="91">
        <f t="shared" si="50"/>
        <v>459.3</v>
      </c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</row>
    <row r="474" spans="1:23" ht="20.25" customHeight="1">
      <c r="A474" s="121" t="s">
        <v>655</v>
      </c>
      <c r="B474" s="68">
        <v>808</v>
      </c>
      <c r="C474" s="57" t="s">
        <v>109</v>
      </c>
      <c r="D474" s="57" t="s">
        <v>24</v>
      </c>
      <c r="E474" s="57" t="s">
        <v>235</v>
      </c>
      <c r="F474" s="57"/>
      <c r="G474" s="91">
        <f>G475</f>
        <v>39805.9</v>
      </c>
      <c r="H474" s="91">
        <f>H475</f>
        <v>110</v>
      </c>
      <c r="I474" s="91">
        <f t="shared" si="49"/>
        <v>39915.9</v>
      </c>
      <c r="J474" s="91">
        <f>J475</f>
        <v>3190.2000000000003</v>
      </c>
      <c r="K474" s="91">
        <f t="shared" si="50"/>
        <v>43106.1</v>
      </c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</row>
    <row r="475" spans="1:23" s="22" customFormat="1" ht="19.5" customHeight="1">
      <c r="A475" s="123" t="s">
        <v>63</v>
      </c>
      <c r="B475" s="68">
        <v>808</v>
      </c>
      <c r="C475" s="57" t="s">
        <v>109</v>
      </c>
      <c r="D475" s="57" t="s">
        <v>24</v>
      </c>
      <c r="E475" s="57" t="s">
        <v>235</v>
      </c>
      <c r="F475" s="57" t="s">
        <v>660</v>
      </c>
      <c r="G475" s="91">
        <f>'прил.8'!G663</f>
        <v>39805.9</v>
      </c>
      <c r="H475" s="91">
        <f>'прил.8'!H663</f>
        <v>110</v>
      </c>
      <c r="I475" s="91">
        <f t="shared" si="49"/>
        <v>39915.9</v>
      </c>
      <c r="J475" s="91">
        <f>'прил.8'!J663</f>
        <v>3190.2000000000003</v>
      </c>
      <c r="K475" s="91">
        <f t="shared" si="50"/>
        <v>43106.1</v>
      </c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</row>
    <row r="476" spans="1:23" s="23" customFormat="1" ht="19.5" customHeight="1">
      <c r="A476" s="123" t="s">
        <v>788</v>
      </c>
      <c r="B476" s="68">
        <v>808</v>
      </c>
      <c r="C476" s="57" t="s">
        <v>109</v>
      </c>
      <c r="D476" s="57" t="s">
        <v>24</v>
      </c>
      <c r="E476" s="57" t="s">
        <v>246</v>
      </c>
      <c r="F476" s="57"/>
      <c r="G476" s="91">
        <f>G477+G479</f>
        <v>41137.600000000006</v>
      </c>
      <c r="H476" s="91">
        <f>H477+H479</f>
        <v>8.2</v>
      </c>
      <c r="I476" s="91">
        <f t="shared" si="49"/>
        <v>41145.8</v>
      </c>
      <c r="J476" s="91">
        <f>J477+J479</f>
        <v>8334.499999999998</v>
      </c>
      <c r="K476" s="91">
        <f t="shared" si="50"/>
        <v>49480.3</v>
      </c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</row>
    <row r="477" spans="1:23" ht="17.25" customHeight="1">
      <c r="A477" s="121" t="s">
        <v>677</v>
      </c>
      <c r="B477" s="68">
        <v>808</v>
      </c>
      <c r="C477" s="57" t="s">
        <v>109</v>
      </c>
      <c r="D477" s="57" t="s">
        <v>24</v>
      </c>
      <c r="E477" s="57" t="s">
        <v>617</v>
      </c>
      <c r="F477" s="57"/>
      <c r="G477" s="91">
        <f>G478</f>
        <v>335.8</v>
      </c>
      <c r="H477" s="91">
        <f>H478</f>
        <v>0</v>
      </c>
      <c r="I477" s="91">
        <f t="shared" si="49"/>
        <v>335.8</v>
      </c>
      <c r="J477" s="91">
        <f>J478</f>
        <v>0</v>
      </c>
      <c r="K477" s="91">
        <f t="shared" si="50"/>
        <v>335.8</v>
      </c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</row>
    <row r="478" spans="1:23" ht="17.25" customHeight="1">
      <c r="A478" s="123" t="s">
        <v>63</v>
      </c>
      <c r="B478" s="68">
        <v>808</v>
      </c>
      <c r="C478" s="57" t="s">
        <v>109</v>
      </c>
      <c r="D478" s="57" t="s">
        <v>24</v>
      </c>
      <c r="E478" s="57" t="s">
        <v>617</v>
      </c>
      <c r="F478" s="57" t="s">
        <v>660</v>
      </c>
      <c r="G478" s="91">
        <f>'прил.8'!G666</f>
        <v>335.8</v>
      </c>
      <c r="H478" s="91">
        <f>'прил.8'!H666</f>
        <v>0</v>
      </c>
      <c r="I478" s="91">
        <f t="shared" si="49"/>
        <v>335.8</v>
      </c>
      <c r="J478" s="91">
        <f>'прил.8'!J666</f>
        <v>0</v>
      </c>
      <c r="K478" s="91">
        <f t="shared" si="50"/>
        <v>335.8</v>
      </c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</row>
    <row r="479" spans="1:23" ht="16.5">
      <c r="A479" s="121" t="s">
        <v>655</v>
      </c>
      <c r="B479" s="68">
        <v>808</v>
      </c>
      <c r="C479" s="57" t="s">
        <v>109</v>
      </c>
      <c r="D479" s="57" t="s">
        <v>24</v>
      </c>
      <c r="E479" s="57" t="s">
        <v>247</v>
      </c>
      <c r="F479" s="57"/>
      <c r="G479" s="91">
        <f>G480</f>
        <v>40801.8</v>
      </c>
      <c r="H479" s="91">
        <f>H480</f>
        <v>8.2</v>
      </c>
      <c r="I479" s="91">
        <f t="shared" si="49"/>
        <v>40810</v>
      </c>
      <c r="J479" s="91">
        <f>J480</f>
        <v>8334.499999999998</v>
      </c>
      <c r="K479" s="91">
        <f t="shared" si="50"/>
        <v>49144.5</v>
      </c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</row>
    <row r="480" spans="1:23" ht="16.5">
      <c r="A480" s="123" t="s">
        <v>63</v>
      </c>
      <c r="B480" s="68">
        <v>808</v>
      </c>
      <c r="C480" s="57" t="s">
        <v>109</v>
      </c>
      <c r="D480" s="57" t="s">
        <v>24</v>
      </c>
      <c r="E480" s="57" t="s">
        <v>247</v>
      </c>
      <c r="F480" s="57" t="s">
        <v>660</v>
      </c>
      <c r="G480" s="91">
        <f>'прил.8'!G668</f>
        <v>40801.8</v>
      </c>
      <c r="H480" s="91">
        <f>'прил.8'!H668</f>
        <v>8.2</v>
      </c>
      <c r="I480" s="91">
        <f t="shared" si="49"/>
        <v>40810</v>
      </c>
      <c r="J480" s="91">
        <f>'прил.8'!J668</f>
        <v>8334.499999999998</v>
      </c>
      <c r="K480" s="91">
        <f t="shared" si="50"/>
        <v>49144.5</v>
      </c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</row>
    <row r="481" spans="1:23" ht="36" customHeight="1" hidden="1">
      <c r="A481" s="123" t="s">
        <v>808</v>
      </c>
      <c r="B481" s="68">
        <v>808</v>
      </c>
      <c r="C481" s="57" t="s">
        <v>109</v>
      </c>
      <c r="D481" s="57" t="s">
        <v>24</v>
      </c>
      <c r="E481" s="57" t="s">
        <v>248</v>
      </c>
      <c r="F481" s="57"/>
      <c r="G481" s="91">
        <f aca="true" t="shared" si="53" ref="G481:J482">G482</f>
        <v>0</v>
      </c>
      <c r="H481" s="91">
        <f t="shared" si="53"/>
        <v>0</v>
      </c>
      <c r="I481" s="91">
        <f t="shared" si="49"/>
        <v>0</v>
      </c>
      <c r="J481" s="91">
        <f t="shared" si="53"/>
        <v>0</v>
      </c>
      <c r="K481" s="91">
        <f t="shared" si="50"/>
        <v>0</v>
      </c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</row>
    <row r="482" spans="1:23" ht="35.25" customHeight="1" hidden="1">
      <c r="A482" s="127" t="s">
        <v>789</v>
      </c>
      <c r="B482" s="68">
        <v>808</v>
      </c>
      <c r="C482" s="57" t="s">
        <v>109</v>
      </c>
      <c r="D482" s="57" t="s">
        <v>24</v>
      </c>
      <c r="E482" s="57" t="s">
        <v>250</v>
      </c>
      <c r="F482" s="57"/>
      <c r="G482" s="91">
        <f t="shared" si="53"/>
        <v>0</v>
      </c>
      <c r="H482" s="91">
        <f t="shared" si="53"/>
        <v>0</v>
      </c>
      <c r="I482" s="91">
        <f t="shared" si="49"/>
        <v>0</v>
      </c>
      <c r="J482" s="91">
        <f t="shared" si="53"/>
        <v>0</v>
      </c>
      <c r="K482" s="91">
        <f t="shared" si="50"/>
        <v>0</v>
      </c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</row>
    <row r="483" spans="1:23" ht="17.25" customHeight="1" hidden="1">
      <c r="A483" s="127" t="s">
        <v>790</v>
      </c>
      <c r="B483" s="68">
        <v>808</v>
      </c>
      <c r="C483" s="57" t="s">
        <v>109</v>
      </c>
      <c r="D483" s="57" t="s">
        <v>24</v>
      </c>
      <c r="E483" s="57" t="s">
        <v>250</v>
      </c>
      <c r="F483" s="57" t="s">
        <v>374</v>
      </c>
      <c r="G483" s="91"/>
      <c r="H483" s="91"/>
      <c r="I483" s="91">
        <f t="shared" si="49"/>
        <v>0</v>
      </c>
      <c r="J483" s="91"/>
      <c r="K483" s="91">
        <f t="shared" si="50"/>
        <v>0</v>
      </c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</row>
    <row r="484" spans="1:23" ht="17.25" customHeight="1">
      <c r="A484" s="130" t="s">
        <v>470</v>
      </c>
      <c r="B484" s="68"/>
      <c r="C484" s="57" t="s">
        <v>109</v>
      </c>
      <c r="D484" s="57" t="s">
        <v>24</v>
      </c>
      <c r="E484" s="57" t="s">
        <v>471</v>
      </c>
      <c r="F484" s="57"/>
      <c r="G484" s="91">
        <f>G485+G487+G489+G491</f>
        <v>3594.2</v>
      </c>
      <c r="H484" s="91">
        <f>H485+H487+H489+H491</f>
        <v>0</v>
      </c>
      <c r="I484" s="91">
        <f t="shared" si="49"/>
        <v>3594.2</v>
      </c>
      <c r="J484" s="91">
        <f>J485+J487+J489+J491</f>
        <v>65</v>
      </c>
      <c r="K484" s="91">
        <f t="shared" si="50"/>
        <v>3659.2</v>
      </c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</row>
    <row r="485" spans="1:23" ht="35.25" customHeight="1">
      <c r="A485" s="124" t="s">
        <v>516</v>
      </c>
      <c r="B485" s="68"/>
      <c r="C485" s="57" t="s">
        <v>109</v>
      </c>
      <c r="D485" s="57" t="s">
        <v>24</v>
      </c>
      <c r="E485" s="57" t="s">
        <v>391</v>
      </c>
      <c r="F485" s="57"/>
      <c r="G485" s="91">
        <f>G486</f>
        <v>350</v>
      </c>
      <c r="H485" s="91">
        <f>H486</f>
        <v>0</v>
      </c>
      <c r="I485" s="91">
        <f t="shared" si="49"/>
        <v>350</v>
      </c>
      <c r="J485" s="91">
        <f>J486</f>
        <v>0</v>
      </c>
      <c r="K485" s="91">
        <f t="shared" si="50"/>
        <v>350</v>
      </c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</row>
    <row r="486" spans="1:23" ht="33.75" customHeight="1">
      <c r="A486" s="127" t="s">
        <v>18</v>
      </c>
      <c r="B486" s="68"/>
      <c r="C486" s="57" t="s">
        <v>109</v>
      </c>
      <c r="D486" s="57" t="s">
        <v>24</v>
      </c>
      <c r="E486" s="57" t="s">
        <v>391</v>
      </c>
      <c r="F486" s="57" t="s">
        <v>375</v>
      </c>
      <c r="G486" s="91">
        <f>'прил.8'!G676</f>
        <v>350</v>
      </c>
      <c r="H486" s="91">
        <f>'прил.8'!H676</f>
        <v>0</v>
      </c>
      <c r="I486" s="91">
        <f t="shared" si="49"/>
        <v>350</v>
      </c>
      <c r="J486" s="91">
        <f>'прил.8'!J676</f>
        <v>0</v>
      </c>
      <c r="K486" s="91">
        <f t="shared" si="50"/>
        <v>350</v>
      </c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</row>
    <row r="487" spans="1:23" ht="36" customHeight="1">
      <c r="A487" s="127" t="s">
        <v>755</v>
      </c>
      <c r="B487" s="68"/>
      <c r="C487" s="57" t="s">
        <v>109</v>
      </c>
      <c r="D487" s="57" t="s">
        <v>24</v>
      </c>
      <c r="E487" s="57" t="s">
        <v>371</v>
      </c>
      <c r="F487" s="57"/>
      <c r="G487" s="91">
        <f>G488</f>
        <v>2774</v>
      </c>
      <c r="H487" s="91">
        <f>H488</f>
        <v>0</v>
      </c>
      <c r="I487" s="91">
        <f t="shared" si="49"/>
        <v>2774</v>
      </c>
      <c r="J487" s="91">
        <f>J488</f>
        <v>65</v>
      </c>
      <c r="K487" s="91">
        <f t="shared" si="50"/>
        <v>2839</v>
      </c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</row>
    <row r="488" spans="1:23" ht="35.25" customHeight="1">
      <c r="A488" s="127" t="s">
        <v>18</v>
      </c>
      <c r="B488" s="68"/>
      <c r="C488" s="57" t="s">
        <v>109</v>
      </c>
      <c r="D488" s="57" t="s">
        <v>24</v>
      </c>
      <c r="E488" s="57" t="s">
        <v>371</v>
      </c>
      <c r="F488" s="57" t="s">
        <v>375</v>
      </c>
      <c r="G488" s="91">
        <f>'прил.8'!G678</f>
        <v>2774</v>
      </c>
      <c r="H488" s="91">
        <f>'прил.8'!H678</f>
        <v>0</v>
      </c>
      <c r="I488" s="91">
        <f t="shared" si="49"/>
        <v>2774</v>
      </c>
      <c r="J488" s="91">
        <f>'прил.8'!J678</f>
        <v>65</v>
      </c>
      <c r="K488" s="91">
        <f t="shared" si="50"/>
        <v>2839</v>
      </c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</row>
    <row r="489" spans="1:23" ht="53.25" customHeight="1">
      <c r="A489" s="135" t="s">
        <v>517</v>
      </c>
      <c r="B489" s="68"/>
      <c r="C489" s="57" t="s">
        <v>109</v>
      </c>
      <c r="D489" s="57" t="s">
        <v>24</v>
      </c>
      <c r="E489" s="57" t="s">
        <v>547</v>
      </c>
      <c r="F489" s="57"/>
      <c r="G489" s="91">
        <f>G490</f>
        <v>100</v>
      </c>
      <c r="H489" s="91">
        <f>H490</f>
        <v>0</v>
      </c>
      <c r="I489" s="91">
        <f t="shared" si="49"/>
        <v>100</v>
      </c>
      <c r="J489" s="91">
        <f>J490</f>
        <v>0</v>
      </c>
      <c r="K489" s="91">
        <f t="shared" si="50"/>
        <v>100</v>
      </c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</row>
    <row r="490" spans="1:23" ht="35.25" customHeight="1">
      <c r="A490" s="127" t="s">
        <v>18</v>
      </c>
      <c r="B490" s="68"/>
      <c r="C490" s="57" t="s">
        <v>109</v>
      </c>
      <c r="D490" s="57" t="s">
        <v>24</v>
      </c>
      <c r="E490" s="57" t="s">
        <v>547</v>
      </c>
      <c r="F490" s="57" t="s">
        <v>375</v>
      </c>
      <c r="G490" s="91">
        <f>'прил.8'!G680</f>
        <v>100</v>
      </c>
      <c r="H490" s="91">
        <f>'прил.8'!H680</f>
        <v>0</v>
      </c>
      <c r="I490" s="91">
        <f t="shared" si="49"/>
        <v>100</v>
      </c>
      <c r="J490" s="91">
        <f>'прил.8'!J680</f>
        <v>0</v>
      </c>
      <c r="K490" s="91">
        <f t="shared" si="50"/>
        <v>100</v>
      </c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</row>
    <row r="491" spans="1:23" ht="36.75" customHeight="1">
      <c r="A491" s="120" t="s">
        <v>518</v>
      </c>
      <c r="B491" s="68"/>
      <c r="C491" s="57" t="s">
        <v>109</v>
      </c>
      <c r="D491" s="57" t="s">
        <v>24</v>
      </c>
      <c r="E491" s="57" t="s">
        <v>553</v>
      </c>
      <c r="F491" s="57"/>
      <c r="G491" s="91">
        <f>G492</f>
        <v>370.2</v>
      </c>
      <c r="H491" s="91">
        <f>H492</f>
        <v>0</v>
      </c>
      <c r="I491" s="91">
        <f t="shared" si="49"/>
        <v>370.2</v>
      </c>
      <c r="J491" s="91">
        <f>J492</f>
        <v>0</v>
      </c>
      <c r="K491" s="91">
        <f t="shared" si="50"/>
        <v>370.2</v>
      </c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</row>
    <row r="492" spans="1:23" ht="35.25" customHeight="1">
      <c r="A492" s="127" t="s">
        <v>18</v>
      </c>
      <c r="B492" s="68"/>
      <c r="C492" s="57" t="s">
        <v>109</v>
      </c>
      <c r="D492" s="57" t="s">
        <v>24</v>
      </c>
      <c r="E492" s="57" t="s">
        <v>553</v>
      </c>
      <c r="F492" s="57" t="s">
        <v>375</v>
      </c>
      <c r="G492" s="91">
        <f>'прил.8'!G682</f>
        <v>370.2</v>
      </c>
      <c r="H492" s="91">
        <f>'прил.8'!H682</f>
        <v>0</v>
      </c>
      <c r="I492" s="91">
        <f t="shared" si="49"/>
        <v>370.2</v>
      </c>
      <c r="J492" s="91">
        <f>'прил.8'!J682</f>
        <v>0</v>
      </c>
      <c r="K492" s="91">
        <f t="shared" si="50"/>
        <v>370.2</v>
      </c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</row>
    <row r="493" spans="1:23" ht="20.25" customHeight="1">
      <c r="A493" s="123" t="s">
        <v>791</v>
      </c>
      <c r="B493" s="68">
        <v>808</v>
      </c>
      <c r="C493" s="57" t="s">
        <v>109</v>
      </c>
      <c r="D493" s="57" t="s">
        <v>27</v>
      </c>
      <c r="E493" s="57"/>
      <c r="F493" s="57"/>
      <c r="G493" s="91">
        <f>G494+G497+G507+G512</f>
        <v>13297.9</v>
      </c>
      <c r="H493" s="91">
        <f>H494+H497+H507+H512</f>
        <v>8.9</v>
      </c>
      <c r="I493" s="91">
        <f t="shared" si="49"/>
        <v>13306.8</v>
      </c>
      <c r="J493" s="91">
        <f>J494+J497+J507+J512</f>
        <v>2947.5000000000005</v>
      </c>
      <c r="K493" s="91">
        <f t="shared" si="50"/>
        <v>16254.3</v>
      </c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</row>
    <row r="494" spans="1:23" ht="51" customHeight="1">
      <c r="A494" s="123" t="s">
        <v>93</v>
      </c>
      <c r="B494" s="68">
        <v>808</v>
      </c>
      <c r="C494" s="57" t="s">
        <v>109</v>
      </c>
      <c r="D494" s="57" t="s">
        <v>27</v>
      </c>
      <c r="E494" s="57" t="s">
        <v>94</v>
      </c>
      <c r="F494" s="57"/>
      <c r="G494" s="91">
        <f aca="true" t="shared" si="54" ref="G494:J495">G495</f>
        <v>4333</v>
      </c>
      <c r="H494" s="91">
        <f t="shared" si="54"/>
        <v>4.9</v>
      </c>
      <c r="I494" s="91">
        <f t="shared" si="49"/>
        <v>4337.9</v>
      </c>
      <c r="J494" s="91">
        <f t="shared" si="54"/>
        <v>508.29999999999995</v>
      </c>
      <c r="K494" s="91">
        <f t="shared" si="50"/>
        <v>4846.2</v>
      </c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</row>
    <row r="495" spans="1:23" s="22" customFormat="1" ht="17.25" customHeight="1">
      <c r="A495" s="123" t="s">
        <v>673</v>
      </c>
      <c r="B495" s="68">
        <v>808</v>
      </c>
      <c r="C495" s="57" t="s">
        <v>109</v>
      </c>
      <c r="D495" s="57" t="s">
        <v>27</v>
      </c>
      <c r="E495" s="57" t="s">
        <v>96</v>
      </c>
      <c r="F495" s="57"/>
      <c r="G495" s="91">
        <f t="shared" si="54"/>
        <v>4333</v>
      </c>
      <c r="H495" s="91">
        <f t="shared" si="54"/>
        <v>4.9</v>
      </c>
      <c r="I495" s="91">
        <f t="shared" si="49"/>
        <v>4337.9</v>
      </c>
      <c r="J495" s="91">
        <f t="shared" si="54"/>
        <v>508.29999999999995</v>
      </c>
      <c r="K495" s="91">
        <f t="shared" si="50"/>
        <v>4846.2</v>
      </c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</row>
    <row r="496" spans="1:23" s="23" customFormat="1" ht="18.75" customHeight="1">
      <c r="A496" s="123" t="s">
        <v>438</v>
      </c>
      <c r="B496" s="68">
        <v>808</v>
      </c>
      <c r="C496" s="57" t="s">
        <v>109</v>
      </c>
      <c r="D496" s="57" t="s">
        <v>27</v>
      </c>
      <c r="E496" s="57" t="s">
        <v>96</v>
      </c>
      <c r="F496" s="57" t="s">
        <v>277</v>
      </c>
      <c r="G496" s="91">
        <f>'прил.8'!G686</f>
        <v>4333</v>
      </c>
      <c r="H496" s="91">
        <f>'прил.8'!H686</f>
        <v>4.9</v>
      </c>
      <c r="I496" s="91">
        <f t="shared" si="49"/>
        <v>4337.9</v>
      </c>
      <c r="J496" s="91">
        <f>'прил.8'!J686</f>
        <v>508.29999999999995</v>
      </c>
      <c r="K496" s="91">
        <f t="shared" si="50"/>
        <v>4846.2</v>
      </c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</row>
    <row r="497" spans="1:23" ht="33" customHeight="1">
      <c r="A497" s="123" t="s">
        <v>482</v>
      </c>
      <c r="B497" s="68">
        <v>841</v>
      </c>
      <c r="C497" s="57" t="s">
        <v>109</v>
      </c>
      <c r="D497" s="57" t="s">
        <v>27</v>
      </c>
      <c r="E497" s="57" t="s">
        <v>483</v>
      </c>
      <c r="F497" s="57"/>
      <c r="G497" s="91">
        <f>G498+G502</f>
        <v>0</v>
      </c>
      <c r="H497" s="91">
        <f>H498+H502</f>
        <v>0</v>
      </c>
      <c r="I497" s="91">
        <f t="shared" si="49"/>
        <v>0</v>
      </c>
      <c r="J497" s="91">
        <f>J498+J502</f>
        <v>2000</v>
      </c>
      <c r="K497" s="91">
        <f t="shared" si="50"/>
        <v>2000</v>
      </c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</row>
    <row r="498" spans="1:23" ht="52.5" customHeight="1" hidden="1">
      <c r="A498" s="123" t="s">
        <v>123</v>
      </c>
      <c r="B498" s="68">
        <v>841</v>
      </c>
      <c r="C498" s="57" t="s">
        <v>109</v>
      </c>
      <c r="D498" s="57" t="s">
        <v>27</v>
      </c>
      <c r="E498" s="57" t="s">
        <v>120</v>
      </c>
      <c r="F498" s="57"/>
      <c r="G498" s="91">
        <f>G499</f>
        <v>0</v>
      </c>
      <c r="H498" s="91">
        <f>H499</f>
        <v>0</v>
      </c>
      <c r="I498" s="91">
        <f t="shared" si="49"/>
        <v>0</v>
      </c>
      <c r="J498" s="91">
        <f>J499</f>
        <v>0</v>
      </c>
      <c r="K498" s="91">
        <f t="shared" si="50"/>
        <v>0</v>
      </c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</row>
    <row r="499" spans="1:23" ht="33" customHeight="1" hidden="1">
      <c r="A499" s="123" t="s">
        <v>270</v>
      </c>
      <c r="B499" s="68">
        <v>841</v>
      </c>
      <c r="C499" s="57" t="s">
        <v>109</v>
      </c>
      <c r="D499" s="57" t="s">
        <v>27</v>
      </c>
      <c r="E499" s="57" t="s">
        <v>485</v>
      </c>
      <c r="F499" s="57"/>
      <c r="G499" s="91">
        <f>SUM(G500:G501)</f>
        <v>0</v>
      </c>
      <c r="H499" s="91">
        <f>SUM(H500:H501)</f>
        <v>0</v>
      </c>
      <c r="I499" s="91">
        <f t="shared" si="49"/>
        <v>0</v>
      </c>
      <c r="J499" s="91">
        <f>SUM(J500:J501)</f>
        <v>0</v>
      </c>
      <c r="K499" s="91">
        <f t="shared" si="50"/>
        <v>0</v>
      </c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</row>
    <row r="500" spans="1:23" ht="19.5" customHeight="1" hidden="1">
      <c r="A500" s="123" t="s">
        <v>6</v>
      </c>
      <c r="B500" s="68">
        <v>841</v>
      </c>
      <c r="C500" s="57" t="s">
        <v>109</v>
      </c>
      <c r="D500" s="57" t="s">
        <v>27</v>
      </c>
      <c r="E500" s="57" t="s">
        <v>485</v>
      </c>
      <c r="F500" s="57" t="s">
        <v>139</v>
      </c>
      <c r="G500" s="97">
        <f>'прил.8'!G1149</f>
        <v>0</v>
      </c>
      <c r="H500" s="97">
        <f>'прил.8'!H1149</f>
        <v>0</v>
      </c>
      <c r="I500" s="91">
        <f t="shared" si="49"/>
        <v>0</v>
      </c>
      <c r="J500" s="97">
        <f>'прил.8'!J1149</f>
        <v>0</v>
      </c>
      <c r="K500" s="91">
        <f t="shared" si="50"/>
        <v>0</v>
      </c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</row>
    <row r="501" spans="1:23" ht="36" customHeight="1" hidden="1">
      <c r="A501" s="127" t="s">
        <v>333</v>
      </c>
      <c r="B501" s="68">
        <v>841</v>
      </c>
      <c r="C501" s="57" t="s">
        <v>109</v>
      </c>
      <c r="D501" s="57" t="s">
        <v>27</v>
      </c>
      <c r="E501" s="57" t="s">
        <v>485</v>
      </c>
      <c r="F501" s="57" t="s">
        <v>140</v>
      </c>
      <c r="G501" s="97">
        <f>'прил.8'!G1150</f>
        <v>0</v>
      </c>
      <c r="H501" s="97">
        <f>'прил.8'!H1150</f>
        <v>0</v>
      </c>
      <c r="I501" s="91">
        <f aca="true" t="shared" si="55" ref="I501:I564">G501+H501</f>
        <v>0</v>
      </c>
      <c r="J501" s="97">
        <f>'прил.8'!J1150</f>
        <v>0</v>
      </c>
      <c r="K501" s="91">
        <f aca="true" t="shared" si="56" ref="K501:K564">I501+J501</f>
        <v>0</v>
      </c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</row>
    <row r="502" spans="1:23" ht="16.5" customHeight="1">
      <c r="A502" s="123" t="s">
        <v>7</v>
      </c>
      <c r="B502" s="68">
        <v>841</v>
      </c>
      <c r="C502" s="57" t="s">
        <v>109</v>
      </c>
      <c r="D502" s="57" t="s">
        <v>27</v>
      </c>
      <c r="E502" s="57" t="s">
        <v>33</v>
      </c>
      <c r="F502" s="57"/>
      <c r="G502" s="97">
        <f>G503+G505</f>
        <v>0</v>
      </c>
      <c r="H502" s="97">
        <f>H503+H505</f>
        <v>0</v>
      </c>
      <c r="I502" s="91">
        <f t="shared" si="55"/>
        <v>0</v>
      </c>
      <c r="J502" s="97">
        <f>J503+J505</f>
        <v>2000</v>
      </c>
      <c r="K502" s="91">
        <f t="shared" si="56"/>
        <v>2000</v>
      </c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</row>
    <row r="503" spans="1:23" ht="18" customHeight="1">
      <c r="A503" s="123" t="s">
        <v>845</v>
      </c>
      <c r="B503" s="68">
        <v>841</v>
      </c>
      <c r="C503" s="57" t="s">
        <v>109</v>
      </c>
      <c r="D503" s="57" t="s">
        <v>27</v>
      </c>
      <c r="E503" s="57" t="s">
        <v>36</v>
      </c>
      <c r="F503" s="57"/>
      <c r="G503" s="97">
        <f>G504</f>
        <v>0</v>
      </c>
      <c r="H503" s="97">
        <f>H504</f>
        <v>0</v>
      </c>
      <c r="I503" s="91">
        <f t="shared" si="55"/>
        <v>0</v>
      </c>
      <c r="J503" s="97">
        <f>J504</f>
        <v>2000</v>
      </c>
      <c r="K503" s="91">
        <f t="shared" si="56"/>
        <v>2000</v>
      </c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</row>
    <row r="504" spans="1:23" ht="16.5" customHeight="1">
      <c r="A504" s="127" t="s">
        <v>492</v>
      </c>
      <c r="B504" s="68">
        <v>841</v>
      </c>
      <c r="C504" s="57" t="s">
        <v>109</v>
      </c>
      <c r="D504" s="57" t="s">
        <v>27</v>
      </c>
      <c r="E504" s="57" t="s">
        <v>36</v>
      </c>
      <c r="F504" s="57" t="s">
        <v>49</v>
      </c>
      <c r="G504" s="97">
        <f>'прил.8'!G1153</f>
        <v>0</v>
      </c>
      <c r="H504" s="97">
        <f>'прил.8'!H1153</f>
        <v>0</v>
      </c>
      <c r="I504" s="91">
        <f t="shared" si="55"/>
        <v>0</v>
      </c>
      <c r="J504" s="97">
        <f>'прил.8'!J1153</f>
        <v>2000</v>
      </c>
      <c r="K504" s="91">
        <f t="shared" si="56"/>
        <v>2000</v>
      </c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</row>
    <row r="505" spans="1:23" ht="18" customHeight="1" hidden="1">
      <c r="A505" s="127" t="s">
        <v>8</v>
      </c>
      <c r="B505" s="68">
        <v>841</v>
      </c>
      <c r="C505" s="57" t="s">
        <v>109</v>
      </c>
      <c r="D505" s="57" t="s">
        <v>27</v>
      </c>
      <c r="E505" s="57" t="s">
        <v>43</v>
      </c>
      <c r="F505" s="57"/>
      <c r="G505" s="97">
        <f>G506</f>
        <v>0</v>
      </c>
      <c r="H505" s="97">
        <f>H506</f>
        <v>0</v>
      </c>
      <c r="I505" s="91">
        <f t="shared" si="55"/>
        <v>0</v>
      </c>
      <c r="J505" s="97">
        <f>J506</f>
        <v>0</v>
      </c>
      <c r="K505" s="91">
        <f t="shared" si="56"/>
        <v>0</v>
      </c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</row>
    <row r="506" spans="1:23" ht="17.25" customHeight="1" hidden="1">
      <c r="A506" s="127" t="s">
        <v>492</v>
      </c>
      <c r="B506" s="68">
        <v>841</v>
      </c>
      <c r="C506" s="57" t="s">
        <v>109</v>
      </c>
      <c r="D506" s="57" t="s">
        <v>27</v>
      </c>
      <c r="E506" s="57" t="s">
        <v>43</v>
      </c>
      <c r="F506" s="57" t="s">
        <v>49</v>
      </c>
      <c r="G506" s="97">
        <f>'прил.8'!G1155</f>
        <v>0</v>
      </c>
      <c r="H506" s="97">
        <f>'прил.8'!H1155</f>
        <v>0</v>
      </c>
      <c r="I506" s="91">
        <f t="shared" si="55"/>
        <v>0</v>
      </c>
      <c r="J506" s="97">
        <f>'прил.8'!J1155</f>
        <v>0</v>
      </c>
      <c r="K506" s="91">
        <f t="shared" si="56"/>
        <v>0</v>
      </c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</row>
    <row r="507" spans="1:23" ht="51" customHeight="1">
      <c r="A507" s="123" t="s">
        <v>783</v>
      </c>
      <c r="B507" s="68">
        <v>808</v>
      </c>
      <c r="C507" s="57" t="s">
        <v>109</v>
      </c>
      <c r="D507" s="57" t="s">
        <v>27</v>
      </c>
      <c r="E507" s="57" t="s">
        <v>648</v>
      </c>
      <c r="F507" s="57"/>
      <c r="G507" s="91">
        <f>G508+G510</f>
        <v>8217.1</v>
      </c>
      <c r="H507" s="91">
        <f>H508+H510</f>
        <v>4</v>
      </c>
      <c r="I507" s="91">
        <f t="shared" si="55"/>
        <v>8221.1</v>
      </c>
      <c r="J507" s="91">
        <f>J508+J510</f>
        <v>390.2000000000001</v>
      </c>
      <c r="K507" s="91">
        <f t="shared" si="56"/>
        <v>8611.300000000001</v>
      </c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</row>
    <row r="508" spans="1:23" ht="16.5">
      <c r="A508" s="121" t="s">
        <v>677</v>
      </c>
      <c r="B508" s="68">
        <v>808</v>
      </c>
      <c r="C508" s="57" t="s">
        <v>109</v>
      </c>
      <c r="D508" s="57" t="s">
        <v>27</v>
      </c>
      <c r="E508" s="57" t="s">
        <v>597</v>
      </c>
      <c r="F508" s="57"/>
      <c r="G508" s="91">
        <f>G509</f>
        <v>60.2</v>
      </c>
      <c r="H508" s="91">
        <f>H509</f>
        <v>0</v>
      </c>
      <c r="I508" s="91">
        <f t="shared" si="55"/>
        <v>60.2</v>
      </c>
      <c r="J508" s="91">
        <f>J509</f>
        <v>0</v>
      </c>
      <c r="K508" s="91">
        <f t="shared" si="56"/>
        <v>60.2</v>
      </c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</row>
    <row r="509" spans="1:23" ht="16.5">
      <c r="A509" s="123" t="s">
        <v>63</v>
      </c>
      <c r="B509" s="68">
        <v>808</v>
      </c>
      <c r="C509" s="57" t="s">
        <v>109</v>
      </c>
      <c r="D509" s="57" t="s">
        <v>27</v>
      </c>
      <c r="E509" s="57" t="s">
        <v>597</v>
      </c>
      <c r="F509" s="57" t="s">
        <v>660</v>
      </c>
      <c r="G509" s="91">
        <f>'прил.8'!G689</f>
        <v>60.2</v>
      </c>
      <c r="H509" s="91">
        <f>'прил.8'!H689</f>
        <v>0</v>
      </c>
      <c r="I509" s="91">
        <f t="shared" si="55"/>
        <v>60.2</v>
      </c>
      <c r="J509" s="91">
        <f>'прил.8'!J689</f>
        <v>0</v>
      </c>
      <c r="K509" s="91">
        <f t="shared" si="56"/>
        <v>60.2</v>
      </c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</row>
    <row r="510" spans="1:23" ht="16.5">
      <c r="A510" s="121" t="s">
        <v>655</v>
      </c>
      <c r="B510" s="68">
        <v>808</v>
      </c>
      <c r="C510" s="57" t="s">
        <v>109</v>
      </c>
      <c r="D510" s="57" t="s">
        <v>27</v>
      </c>
      <c r="E510" s="57" t="s">
        <v>649</v>
      </c>
      <c r="F510" s="57"/>
      <c r="G510" s="91">
        <f>G511</f>
        <v>8156.9</v>
      </c>
      <c r="H510" s="91">
        <f>H511</f>
        <v>4</v>
      </c>
      <c r="I510" s="91">
        <f t="shared" si="55"/>
        <v>8160.9</v>
      </c>
      <c r="J510" s="91">
        <f>J511</f>
        <v>390.2000000000001</v>
      </c>
      <c r="K510" s="91">
        <f t="shared" si="56"/>
        <v>8551.1</v>
      </c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</row>
    <row r="511" spans="1:23" ht="18.75" customHeight="1">
      <c r="A511" s="123" t="s">
        <v>63</v>
      </c>
      <c r="B511" s="68">
        <v>808</v>
      </c>
      <c r="C511" s="57" t="s">
        <v>109</v>
      </c>
      <c r="D511" s="57" t="s">
        <v>27</v>
      </c>
      <c r="E511" s="57" t="s">
        <v>649</v>
      </c>
      <c r="F511" s="57" t="s">
        <v>660</v>
      </c>
      <c r="G511" s="91">
        <f>'прил.8'!G691</f>
        <v>8156.9</v>
      </c>
      <c r="H511" s="91">
        <f>'прил.8'!H691</f>
        <v>4</v>
      </c>
      <c r="I511" s="91">
        <f t="shared" si="55"/>
        <v>8160.9</v>
      </c>
      <c r="J511" s="91">
        <f>'прил.8'!J691</f>
        <v>390.2000000000001</v>
      </c>
      <c r="K511" s="91">
        <f t="shared" si="56"/>
        <v>8551.1</v>
      </c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</row>
    <row r="512" spans="1:23" ht="16.5">
      <c r="A512" s="121" t="s">
        <v>441</v>
      </c>
      <c r="B512" s="68">
        <v>808</v>
      </c>
      <c r="C512" s="57" t="s">
        <v>109</v>
      </c>
      <c r="D512" s="57" t="s">
        <v>27</v>
      </c>
      <c r="E512" s="57" t="s">
        <v>433</v>
      </c>
      <c r="F512" s="57"/>
      <c r="G512" s="91">
        <f>G513</f>
        <v>747.8</v>
      </c>
      <c r="H512" s="91">
        <f>H513</f>
        <v>0</v>
      </c>
      <c r="I512" s="91">
        <f t="shared" si="55"/>
        <v>747.8</v>
      </c>
      <c r="J512" s="91">
        <f>J513</f>
        <v>49</v>
      </c>
      <c r="K512" s="91">
        <f t="shared" si="56"/>
        <v>796.8</v>
      </c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</row>
    <row r="513" spans="1:23" ht="16.5">
      <c r="A513" s="121" t="s">
        <v>470</v>
      </c>
      <c r="B513" s="68"/>
      <c r="C513" s="57" t="s">
        <v>109</v>
      </c>
      <c r="D513" s="57" t="s">
        <v>27</v>
      </c>
      <c r="E513" s="57" t="s">
        <v>434</v>
      </c>
      <c r="F513" s="57"/>
      <c r="G513" s="91">
        <f>G514+G516+G518</f>
        <v>747.8</v>
      </c>
      <c r="H513" s="91">
        <f>H514+H516+H518</f>
        <v>0</v>
      </c>
      <c r="I513" s="91">
        <f t="shared" si="55"/>
        <v>747.8</v>
      </c>
      <c r="J513" s="91">
        <f>J514+J516+J518</f>
        <v>49</v>
      </c>
      <c r="K513" s="91">
        <f t="shared" si="56"/>
        <v>796.8</v>
      </c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</row>
    <row r="514" spans="1:23" s="22" customFormat="1" ht="17.25" customHeight="1">
      <c r="A514" s="121" t="s">
        <v>279</v>
      </c>
      <c r="B514" s="68">
        <v>808</v>
      </c>
      <c r="C514" s="57" t="s">
        <v>109</v>
      </c>
      <c r="D514" s="57" t="s">
        <v>27</v>
      </c>
      <c r="E514" s="57" t="s">
        <v>446</v>
      </c>
      <c r="F514" s="57"/>
      <c r="G514" s="91">
        <f>G515</f>
        <v>662.8</v>
      </c>
      <c r="H514" s="91">
        <f>H515</f>
        <v>0</v>
      </c>
      <c r="I514" s="91">
        <f t="shared" si="55"/>
        <v>662.8</v>
      </c>
      <c r="J514" s="91">
        <f>J515</f>
        <v>49</v>
      </c>
      <c r="K514" s="91">
        <f t="shared" si="56"/>
        <v>711.8</v>
      </c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</row>
    <row r="515" spans="1:23" s="23" customFormat="1" ht="33">
      <c r="A515" s="127" t="s">
        <v>251</v>
      </c>
      <c r="B515" s="68">
        <v>808</v>
      </c>
      <c r="C515" s="57" t="s">
        <v>109</v>
      </c>
      <c r="D515" s="57" t="s">
        <v>27</v>
      </c>
      <c r="E515" s="57" t="s">
        <v>446</v>
      </c>
      <c r="F515" s="57" t="s">
        <v>375</v>
      </c>
      <c r="G515" s="91">
        <f>'прил.8'!G695</f>
        <v>662.8</v>
      </c>
      <c r="H515" s="91">
        <f>'прил.8'!H695</f>
        <v>0</v>
      </c>
      <c r="I515" s="91">
        <f t="shared" si="55"/>
        <v>662.8</v>
      </c>
      <c r="J515" s="91">
        <f>'прил.8'!J695</f>
        <v>49</v>
      </c>
      <c r="K515" s="91">
        <f t="shared" si="56"/>
        <v>711.8</v>
      </c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</row>
    <row r="516" spans="1:23" ht="18" customHeight="1">
      <c r="A516" s="121" t="s">
        <v>9</v>
      </c>
      <c r="B516" s="68">
        <v>808</v>
      </c>
      <c r="C516" s="57" t="s">
        <v>109</v>
      </c>
      <c r="D516" s="57" t="s">
        <v>27</v>
      </c>
      <c r="E516" s="57" t="s">
        <v>442</v>
      </c>
      <c r="F516" s="57"/>
      <c r="G516" s="91">
        <f>G517</f>
        <v>85</v>
      </c>
      <c r="H516" s="91">
        <f>H517</f>
        <v>0</v>
      </c>
      <c r="I516" s="91">
        <f t="shared" si="55"/>
        <v>85</v>
      </c>
      <c r="J516" s="91">
        <f>J517</f>
        <v>0</v>
      </c>
      <c r="K516" s="91">
        <f t="shared" si="56"/>
        <v>85</v>
      </c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</row>
    <row r="517" spans="1:23" ht="32.25" customHeight="1">
      <c r="A517" s="127" t="s">
        <v>18</v>
      </c>
      <c r="B517" s="68">
        <v>808</v>
      </c>
      <c r="C517" s="57" t="s">
        <v>109</v>
      </c>
      <c r="D517" s="57" t="s">
        <v>27</v>
      </c>
      <c r="E517" s="57" t="s">
        <v>442</v>
      </c>
      <c r="F517" s="57" t="s">
        <v>375</v>
      </c>
      <c r="G517" s="91">
        <f>'прил.8'!G697</f>
        <v>85</v>
      </c>
      <c r="H517" s="91">
        <f>'прил.8'!H697</f>
        <v>0</v>
      </c>
      <c r="I517" s="91">
        <f t="shared" si="55"/>
        <v>85</v>
      </c>
      <c r="J517" s="91">
        <f>'прил.8'!J697</f>
        <v>0</v>
      </c>
      <c r="K517" s="91">
        <f t="shared" si="56"/>
        <v>85</v>
      </c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</row>
    <row r="518" spans="1:23" ht="36" customHeight="1" hidden="1">
      <c r="A518" s="130" t="s">
        <v>451</v>
      </c>
      <c r="B518" s="68"/>
      <c r="C518" s="57" t="s">
        <v>109</v>
      </c>
      <c r="D518" s="57" t="s">
        <v>27</v>
      </c>
      <c r="E518" s="57" t="s">
        <v>449</v>
      </c>
      <c r="F518" s="57"/>
      <c r="G518" s="91">
        <f>G519</f>
        <v>0</v>
      </c>
      <c r="H518" s="91">
        <f>H519</f>
        <v>0</v>
      </c>
      <c r="I518" s="91">
        <f t="shared" si="55"/>
        <v>0</v>
      </c>
      <c r="J518" s="91">
        <f>J519</f>
        <v>0</v>
      </c>
      <c r="K518" s="91">
        <f t="shared" si="56"/>
        <v>0</v>
      </c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</row>
    <row r="519" spans="1:23" ht="21.75" customHeight="1" hidden="1">
      <c r="A519" s="130" t="s">
        <v>438</v>
      </c>
      <c r="B519" s="68"/>
      <c r="C519" s="57" t="s">
        <v>109</v>
      </c>
      <c r="D519" s="57" t="s">
        <v>27</v>
      </c>
      <c r="E519" s="57" t="s">
        <v>449</v>
      </c>
      <c r="F519" s="57" t="s">
        <v>277</v>
      </c>
      <c r="G519" s="91">
        <f>'прил.8'!G142</f>
        <v>0</v>
      </c>
      <c r="H519" s="91">
        <f>'прил.8'!H142</f>
        <v>0</v>
      </c>
      <c r="I519" s="91">
        <f t="shared" si="55"/>
        <v>0</v>
      </c>
      <c r="J519" s="91">
        <f>'прил.8'!J142</f>
        <v>0</v>
      </c>
      <c r="K519" s="91">
        <f t="shared" si="56"/>
        <v>0</v>
      </c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</row>
    <row r="520" spans="1:23" ht="16.5">
      <c r="A520" s="121" t="s">
        <v>607</v>
      </c>
      <c r="B520" s="68"/>
      <c r="C520" s="57" t="s">
        <v>106</v>
      </c>
      <c r="D520" s="57"/>
      <c r="E520" s="57"/>
      <c r="F520" s="76"/>
      <c r="G520" s="91">
        <f>G521+G535+G549+G560+G571+G577</f>
        <v>381714.4</v>
      </c>
      <c r="H520" s="91">
        <f>H521+H535+H549+H560+H571+H577</f>
        <v>23981.3</v>
      </c>
      <c r="I520" s="91">
        <f t="shared" si="55"/>
        <v>405695.7</v>
      </c>
      <c r="J520" s="91">
        <f>J521+J535+J549+J560+J571+J577</f>
        <v>38566.5</v>
      </c>
      <c r="K520" s="91">
        <f t="shared" si="56"/>
        <v>444262.2</v>
      </c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</row>
    <row r="521" spans="1:23" ht="16.5">
      <c r="A521" s="121" t="s">
        <v>658</v>
      </c>
      <c r="B521" s="68">
        <v>806</v>
      </c>
      <c r="C521" s="57" t="s">
        <v>106</v>
      </c>
      <c r="D521" s="57" t="s">
        <v>24</v>
      </c>
      <c r="E521" s="57"/>
      <c r="F521" s="76"/>
      <c r="G521" s="91">
        <f>G522+G527+G532</f>
        <v>166789.90000000002</v>
      </c>
      <c r="H521" s="91">
        <f>H522+H527+H532</f>
        <v>5541.8</v>
      </c>
      <c r="I521" s="91">
        <f t="shared" si="55"/>
        <v>172331.7</v>
      </c>
      <c r="J521" s="91">
        <f>J522+J527+J532</f>
        <v>19466.7</v>
      </c>
      <c r="K521" s="91">
        <f t="shared" si="56"/>
        <v>191798.40000000002</v>
      </c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</row>
    <row r="522" spans="1:23" ht="16.5">
      <c r="A522" s="127" t="s">
        <v>792</v>
      </c>
      <c r="B522" s="68">
        <v>806</v>
      </c>
      <c r="C522" s="57" t="s">
        <v>106</v>
      </c>
      <c r="D522" s="57" t="s">
        <v>24</v>
      </c>
      <c r="E522" s="57" t="s">
        <v>210</v>
      </c>
      <c r="F522" s="57"/>
      <c r="G522" s="91">
        <f>G523+G525</f>
        <v>157623.30000000002</v>
      </c>
      <c r="H522" s="91">
        <f>H523+H525</f>
        <v>5541.8</v>
      </c>
      <c r="I522" s="91">
        <f t="shared" si="55"/>
        <v>163165.1</v>
      </c>
      <c r="J522" s="91">
        <f>J523+J525</f>
        <v>19356.9</v>
      </c>
      <c r="K522" s="91">
        <f t="shared" si="56"/>
        <v>182522</v>
      </c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</row>
    <row r="523" spans="1:23" ht="16.5">
      <c r="A523" s="121" t="s">
        <v>677</v>
      </c>
      <c r="B523" s="68">
        <v>806</v>
      </c>
      <c r="C523" s="57" t="s">
        <v>106</v>
      </c>
      <c r="D523" s="57" t="s">
        <v>24</v>
      </c>
      <c r="E523" s="57" t="s">
        <v>598</v>
      </c>
      <c r="F523" s="57"/>
      <c r="G523" s="91">
        <f>G524</f>
        <v>3471.5</v>
      </c>
      <c r="H523" s="91">
        <f>H524</f>
        <v>0</v>
      </c>
      <c r="I523" s="91">
        <f t="shared" si="55"/>
        <v>3471.5</v>
      </c>
      <c r="J523" s="91">
        <f>J524</f>
        <v>0</v>
      </c>
      <c r="K523" s="91">
        <f t="shared" si="56"/>
        <v>3471.5</v>
      </c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</row>
    <row r="524" spans="1:23" ht="16.5">
      <c r="A524" s="123" t="s">
        <v>63</v>
      </c>
      <c r="B524" s="68">
        <v>806</v>
      </c>
      <c r="C524" s="57" t="s">
        <v>106</v>
      </c>
      <c r="D524" s="57" t="s">
        <v>24</v>
      </c>
      <c r="E524" s="57" t="s">
        <v>598</v>
      </c>
      <c r="F524" s="57" t="s">
        <v>660</v>
      </c>
      <c r="G524" s="91">
        <f>'прил.8'!G483</f>
        <v>3471.5</v>
      </c>
      <c r="H524" s="91">
        <f>'прил.8'!H483</f>
        <v>0</v>
      </c>
      <c r="I524" s="91">
        <f t="shared" si="55"/>
        <v>3471.5</v>
      </c>
      <c r="J524" s="91">
        <f>'прил.8'!J483</f>
        <v>0</v>
      </c>
      <c r="K524" s="91">
        <f t="shared" si="56"/>
        <v>3471.5</v>
      </c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</row>
    <row r="525" spans="1:23" ht="16.5">
      <c r="A525" s="121" t="s">
        <v>655</v>
      </c>
      <c r="B525" s="68">
        <v>806</v>
      </c>
      <c r="C525" s="57" t="s">
        <v>106</v>
      </c>
      <c r="D525" s="57" t="s">
        <v>24</v>
      </c>
      <c r="E525" s="57" t="s">
        <v>211</v>
      </c>
      <c r="F525" s="76"/>
      <c r="G525" s="91">
        <f>G526</f>
        <v>154151.80000000002</v>
      </c>
      <c r="H525" s="91">
        <f>H526</f>
        <v>5541.8</v>
      </c>
      <c r="I525" s="91">
        <f t="shared" si="55"/>
        <v>159693.6</v>
      </c>
      <c r="J525" s="91">
        <f>J526</f>
        <v>19356.9</v>
      </c>
      <c r="K525" s="91">
        <f t="shared" si="56"/>
        <v>179050.5</v>
      </c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</row>
    <row r="526" spans="1:23" ht="16.5">
      <c r="A526" s="123" t="s">
        <v>63</v>
      </c>
      <c r="B526" s="68">
        <v>806</v>
      </c>
      <c r="C526" s="57" t="s">
        <v>106</v>
      </c>
      <c r="D526" s="57" t="s">
        <v>24</v>
      </c>
      <c r="E526" s="57" t="s">
        <v>211</v>
      </c>
      <c r="F526" s="57" t="s">
        <v>660</v>
      </c>
      <c r="G526" s="91">
        <f>'прил.8'!G485+'прил.8'!G1036</f>
        <v>154151.80000000002</v>
      </c>
      <c r="H526" s="91">
        <f>'прил.8'!H485+'прил.8'!H1036</f>
        <v>5541.8</v>
      </c>
      <c r="I526" s="91">
        <f t="shared" si="55"/>
        <v>159693.6</v>
      </c>
      <c r="J526" s="91">
        <f>'прил.8'!J485+'прил.8'!J1036</f>
        <v>19356.9</v>
      </c>
      <c r="K526" s="91">
        <f t="shared" si="56"/>
        <v>179050.5</v>
      </c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</row>
    <row r="527" spans="1:23" ht="16.5">
      <c r="A527" s="121" t="s">
        <v>793</v>
      </c>
      <c r="B527" s="68">
        <v>806</v>
      </c>
      <c r="C527" s="57" t="s">
        <v>106</v>
      </c>
      <c r="D527" s="57" t="s">
        <v>24</v>
      </c>
      <c r="E527" s="57" t="s">
        <v>212</v>
      </c>
      <c r="F527" s="57"/>
      <c r="G527" s="91">
        <f>G528+G530</f>
        <v>9166.599999999999</v>
      </c>
      <c r="H527" s="91">
        <f>H528+H530</f>
        <v>0</v>
      </c>
      <c r="I527" s="91">
        <f t="shared" si="55"/>
        <v>9166.599999999999</v>
      </c>
      <c r="J527" s="91">
        <f>J528+J530</f>
        <v>109.8</v>
      </c>
      <c r="K527" s="91">
        <f t="shared" si="56"/>
        <v>9276.399999999998</v>
      </c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</row>
    <row r="528" spans="1:23" ht="16.5">
      <c r="A528" s="121" t="s">
        <v>677</v>
      </c>
      <c r="B528" s="68">
        <v>806</v>
      </c>
      <c r="C528" s="57" t="s">
        <v>106</v>
      </c>
      <c r="D528" s="57" t="s">
        <v>24</v>
      </c>
      <c r="E528" s="57" t="s">
        <v>31</v>
      </c>
      <c r="F528" s="57"/>
      <c r="G528" s="91">
        <f>G529</f>
        <v>421.8</v>
      </c>
      <c r="H528" s="91">
        <f>H529</f>
        <v>0</v>
      </c>
      <c r="I528" s="91">
        <f t="shared" si="55"/>
        <v>421.8</v>
      </c>
      <c r="J528" s="91">
        <f>J529</f>
        <v>0</v>
      </c>
      <c r="K528" s="91">
        <f t="shared" si="56"/>
        <v>421.8</v>
      </c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</row>
    <row r="529" spans="1:23" ht="16.5">
      <c r="A529" s="123" t="s">
        <v>63</v>
      </c>
      <c r="B529" s="68">
        <v>806</v>
      </c>
      <c r="C529" s="57" t="s">
        <v>106</v>
      </c>
      <c r="D529" s="57" t="s">
        <v>24</v>
      </c>
      <c r="E529" s="57" t="s">
        <v>31</v>
      </c>
      <c r="F529" s="57" t="s">
        <v>660</v>
      </c>
      <c r="G529" s="91">
        <f>'прил.8'!G488</f>
        <v>421.8</v>
      </c>
      <c r="H529" s="91">
        <f>'прил.8'!H488</f>
        <v>0</v>
      </c>
      <c r="I529" s="91">
        <f t="shared" si="55"/>
        <v>421.8</v>
      </c>
      <c r="J529" s="91">
        <f>'прил.8'!J488</f>
        <v>0</v>
      </c>
      <c r="K529" s="91">
        <f t="shared" si="56"/>
        <v>421.8</v>
      </c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</row>
    <row r="530" spans="1:23" ht="16.5">
      <c r="A530" s="121" t="s">
        <v>655</v>
      </c>
      <c r="B530" s="68">
        <v>806</v>
      </c>
      <c r="C530" s="57" t="s">
        <v>106</v>
      </c>
      <c r="D530" s="57" t="s">
        <v>24</v>
      </c>
      <c r="E530" s="57" t="s">
        <v>213</v>
      </c>
      <c r="F530" s="57"/>
      <c r="G530" s="91">
        <f>G531</f>
        <v>8744.8</v>
      </c>
      <c r="H530" s="91">
        <f>H531</f>
        <v>0</v>
      </c>
      <c r="I530" s="91">
        <f t="shared" si="55"/>
        <v>8744.8</v>
      </c>
      <c r="J530" s="91">
        <f>J531</f>
        <v>109.8</v>
      </c>
      <c r="K530" s="91">
        <f t="shared" si="56"/>
        <v>8854.599999999999</v>
      </c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</row>
    <row r="531" spans="1:23" ht="16.5">
      <c r="A531" s="123" t="s">
        <v>63</v>
      </c>
      <c r="B531" s="68">
        <v>806</v>
      </c>
      <c r="C531" s="57" t="s">
        <v>106</v>
      </c>
      <c r="D531" s="57" t="s">
        <v>24</v>
      </c>
      <c r="E531" s="57" t="s">
        <v>213</v>
      </c>
      <c r="F531" s="57" t="s">
        <v>660</v>
      </c>
      <c r="G531" s="91">
        <f>'прил.8'!G490</f>
        <v>8744.8</v>
      </c>
      <c r="H531" s="91">
        <f>'прил.8'!H490</f>
        <v>0</v>
      </c>
      <c r="I531" s="91">
        <f t="shared" si="55"/>
        <v>8744.8</v>
      </c>
      <c r="J531" s="91">
        <f>'прил.8'!J490</f>
        <v>109.8</v>
      </c>
      <c r="K531" s="91">
        <f t="shared" si="56"/>
        <v>8854.599999999999</v>
      </c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</row>
    <row r="532" spans="1:23" ht="16.5" hidden="1">
      <c r="A532" s="130" t="s">
        <v>118</v>
      </c>
      <c r="B532" s="68"/>
      <c r="C532" s="57" t="s">
        <v>106</v>
      </c>
      <c r="D532" s="57" t="s">
        <v>24</v>
      </c>
      <c r="E532" s="57" t="s">
        <v>99</v>
      </c>
      <c r="F532" s="57"/>
      <c r="G532" s="91">
        <f aca="true" t="shared" si="57" ref="G532:J533">G533</f>
        <v>0</v>
      </c>
      <c r="H532" s="91">
        <f t="shared" si="57"/>
        <v>0</v>
      </c>
      <c r="I532" s="91">
        <f t="shared" si="55"/>
        <v>0</v>
      </c>
      <c r="J532" s="91">
        <f t="shared" si="57"/>
        <v>0</v>
      </c>
      <c r="K532" s="91">
        <f t="shared" si="56"/>
        <v>0</v>
      </c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</row>
    <row r="533" spans="1:23" ht="33" hidden="1">
      <c r="A533" s="123" t="s">
        <v>242</v>
      </c>
      <c r="B533" s="68"/>
      <c r="C533" s="57" t="s">
        <v>106</v>
      </c>
      <c r="D533" s="57" t="s">
        <v>24</v>
      </c>
      <c r="E533" s="57" t="s">
        <v>241</v>
      </c>
      <c r="F533" s="57"/>
      <c r="G533" s="91">
        <f t="shared" si="57"/>
        <v>0</v>
      </c>
      <c r="H533" s="91">
        <f t="shared" si="57"/>
        <v>0</v>
      </c>
      <c r="I533" s="91">
        <f t="shared" si="55"/>
        <v>0</v>
      </c>
      <c r="J533" s="91">
        <f t="shared" si="57"/>
        <v>0</v>
      </c>
      <c r="K533" s="91">
        <f t="shared" si="56"/>
        <v>0</v>
      </c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</row>
    <row r="534" spans="1:23" ht="16.5" hidden="1">
      <c r="A534" s="123" t="s">
        <v>63</v>
      </c>
      <c r="B534" s="68"/>
      <c r="C534" s="57" t="s">
        <v>106</v>
      </c>
      <c r="D534" s="57" t="s">
        <v>24</v>
      </c>
      <c r="E534" s="57" t="s">
        <v>241</v>
      </c>
      <c r="F534" s="57" t="s">
        <v>660</v>
      </c>
      <c r="G534" s="91"/>
      <c r="H534" s="91"/>
      <c r="I534" s="91">
        <f t="shared" si="55"/>
        <v>0</v>
      </c>
      <c r="J534" s="91"/>
      <c r="K534" s="91">
        <f t="shared" si="56"/>
        <v>0</v>
      </c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</row>
    <row r="535" spans="1:23" ht="16.5">
      <c r="A535" s="121" t="s">
        <v>794</v>
      </c>
      <c r="B535" s="68">
        <v>806</v>
      </c>
      <c r="C535" s="57" t="s">
        <v>106</v>
      </c>
      <c r="D535" s="57" t="s">
        <v>25</v>
      </c>
      <c r="E535" s="57"/>
      <c r="F535" s="57"/>
      <c r="G535" s="91">
        <f>G536+G541+G546</f>
        <v>46616.6</v>
      </c>
      <c r="H535" s="91">
        <f>H536+H541+H546</f>
        <v>441.6</v>
      </c>
      <c r="I535" s="91">
        <f t="shared" si="55"/>
        <v>47058.2</v>
      </c>
      <c r="J535" s="91">
        <f>J536+J541+J546</f>
        <v>4322.5</v>
      </c>
      <c r="K535" s="91">
        <f t="shared" si="56"/>
        <v>51380.7</v>
      </c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</row>
    <row r="536" spans="1:23" ht="16.5">
      <c r="A536" s="127" t="s">
        <v>792</v>
      </c>
      <c r="B536" s="68">
        <v>806</v>
      </c>
      <c r="C536" s="57" t="s">
        <v>106</v>
      </c>
      <c r="D536" s="57" t="s">
        <v>25</v>
      </c>
      <c r="E536" s="57" t="s">
        <v>210</v>
      </c>
      <c r="F536" s="57"/>
      <c r="G536" s="91">
        <f>G537+G539</f>
        <v>14956.7</v>
      </c>
      <c r="H536" s="91">
        <f>H537+H539</f>
        <v>184.3</v>
      </c>
      <c r="I536" s="91">
        <f t="shared" si="55"/>
        <v>15141</v>
      </c>
      <c r="J536" s="91">
        <f>J537+J539</f>
        <v>529.1999999999999</v>
      </c>
      <c r="K536" s="91">
        <f t="shared" si="56"/>
        <v>15670.2</v>
      </c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</row>
    <row r="537" spans="1:23" ht="16.5">
      <c r="A537" s="121" t="s">
        <v>677</v>
      </c>
      <c r="B537" s="68">
        <v>806</v>
      </c>
      <c r="C537" s="57" t="s">
        <v>106</v>
      </c>
      <c r="D537" s="57" t="s">
        <v>25</v>
      </c>
      <c r="E537" s="57" t="s">
        <v>598</v>
      </c>
      <c r="F537" s="57"/>
      <c r="G537" s="91">
        <f>G538</f>
        <v>401.7</v>
      </c>
      <c r="H537" s="91">
        <f>H538</f>
        <v>0</v>
      </c>
      <c r="I537" s="91">
        <f t="shared" si="55"/>
        <v>401.7</v>
      </c>
      <c r="J537" s="91">
        <f>J538</f>
        <v>0</v>
      </c>
      <c r="K537" s="91">
        <f t="shared" si="56"/>
        <v>401.7</v>
      </c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</row>
    <row r="538" spans="1:23" ht="16.5">
      <c r="A538" s="123" t="s">
        <v>63</v>
      </c>
      <c r="B538" s="68">
        <v>806</v>
      </c>
      <c r="C538" s="57" t="s">
        <v>106</v>
      </c>
      <c r="D538" s="57" t="s">
        <v>25</v>
      </c>
      <c r="E538" s="57" t="s">
        <v>598</v>
      </c>
      <c r="F538" s="57" t="s">
        <v>660</v>
      </c>
      <c r="G538" s="91">
        <f>'прил.8'!G494</f>
        <v>401.7</v>
      </c>
      <c r="H538" s="91">
        <f>'прил.8'!H494</f>
        <v>0</v>
      </c>
      <c r="I538" s="91">
        <f t="shared" si="55"/>
        <v>401.7</v>
      </c>
      <c r="J538" s="91">
        <f>'прил.8'!J494</f>
        <v>0</v>
      </c>
      <c r="K538" s="91">
        <f t="shared" si="56"/>
        <v>401.7</v>
      </c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</row>
    <row r="539" spans="1:23" ht="16.5">
      <c r="A539" s="121" t="s">
        <v>655</v>
      </c>
      <c r="B539" s="68">
        <v>806</v>
      </c>
      <c r="C539" s="57" t="s">
        <v>106</v>
      </c>
      <c r="D539" s="57" t="s">
        <v>25</v>
      </c>
      <c r="E539" s="57" t="s">
        <v>211</v>
      </c>
      <c r="F539" s="76"/>
      <c r="G539" s="91">
        <f>G540</f>
        <v>14555</v>
      </c>
      <c r="H539" s="91">
        <f>H540</f>
        <v>184.3</v>
      </c>
      <c r="I539" s="91">
        <f t="shared" si="55"/>
        <v>14739.3</v>
      </c>
      <c r="J539" s="91">
        <f>J540</f>
        <v>529.1999999999999</v>
      </c>
      <c r="K539" s="91">
        <f t="shared" si="56"/>
        <v>15268.5</v>
      </c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</row>
    <row r="540" spans="1:23" ht="16.5">
      <c r="A540" s="123" t="s">
        <v>63</v>
      </c>
      <c r="B540" s="68">
        <v>806</v>
      </c>
      <c r="C540" s="57" t="s">
        <v>106</v>
      </c>
      <c r="D540" s="57" t="s">
        <v>25</v>
      </c>
      <c r="E540" s="57" t="s">
        <v>211</v>
      </c>
      <c r="F540" s="57" t="s">
        <v>660</v>
      </c>
      <c r="G540" s="91">
        <f>'прил.8'!G496</f>
        <v>14555</v>
      </c>
      <c r="H540" s="91">
        <f>'прил.8'!H496</f>
        <v>184.3</v>
      </c>
      <c r="I540" s="91">
        <f t="shared" si="55"/>
        <v>14739.3</v>
      </c>
      <c r="J540" s="91">
        <f>'прил.8'!J496</f>
        <v>529.1999999999999</v>
      </c>
      <c r="K540" s="91">
        <f t="shared" si="56"/>
        <v>15268.5</v>
      </c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</row>
    <row r="541" spans="1:23" ht="16.5">
      <c r="A541" s="121" t="s">
        <v>795</v>
      </c>
      <c r="B541" s="68">
        <v>806</v>
      </c>
      <c r="C541" s="57" t="s">
        <v>106</v>
      </c>
      <c r="D541" s="57" t="s">
        <v>25</v>
      </c>
      <c r="E541" s="57" t="s">
        <v>214</v>
      </c>
      <c r="F541" s="57"/>
      <c r="G541" s="91">
        <f>G542+G544</f>
        <v>31659.899999999998</v>
      </c>
      <c r="H541" s="91">
        <f>H542+H544</f>
        <v>257.3</v>
      </c>
      <c r="I541" s="91">
        <f t="shared" si="55"/>
        <v>31917.199999999997</v>
      </c>
      <c r="J541" s="91">
        <f>J542+J544</f>
        <v>3793.3</v>
      </c>
      <c r="K541" s="91">
        <f t="shared" si="56"/>
        <v>35710.5</v>
      </c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</row>
    <row r="542" spans="1:23" ht="16.5">
      <c r="A542" s="121" t="s">
        <v>677</v>
      </c>
      <c r="B542" s="68">
        <v>806</v>
      </c>
      <c r="C542" s="57" t="s">
        <v>106</v>
      </c>
      <c r="D542" s="57" t="s">
        <v>25</v>
      </c>
      <c r="E542" s="57" t="s">
        <v>599</v>
      </c>
      <c r="F542" s="57"/>
      <c r="G542" s="91">
        <f>G543</f>
        <v>826.6</v>
      </c>
      <c r="H542" s="91">
        <f>H543</f>
        <v>0</v>
      </c>
      <c r="I542" s="91">
        <f t="shared" si="55"/>
        <v>826.6</v>
      </c>
      <c r="J542" s="91">
        <f>J543</f>
        <v>0</v>
      </c>
      <c r="K542" s="91">
        <f t="shared" si="56"/>
        <v>826.6</v>
      </c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</row>
    <row r="543" spans="1:23" ht="16.5">
      <c r="A543" s="123" t="s">
        <v>63</v>
      </c>
      <c r="B543" s="68">
        <v>806</v>
      </c>
      <c r="C543" s="57" t="s">
        <v>106</v>
      </c>
      <c r="D543" s="57" t="s">
        <v>25</v>
      </c>
      <c r="E543" s="57" t="s">
        <v>599</v>
      </c>
      <c r="F543" s="57" t="s">
        <v>660</v>
      </c>
      <c r="G543" s="91">
        <f>'прил.8'!G499</f>
        <v>826.6</v>
      </c>
      <c r="H543" s="91">
        <f>'прил.8'!H499</f>
        <v>0</v>
      </c>
      <c r="I543" s="91">
        <f t="shared" si="55"/>
        <v>826.6</v>
      </c>
      <c r="J543" s="91">
        <f>'прил.8'!J499</f>
        <v>0</v>
      </c>
      <c r="K543" s="91">
        <f t="shared" si="56"/>
        <v>826.6</v>
      </c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</row>
    <row r="544" spans="1:23" ht="16.5">
      <c r="A544" s="121" t="s">
        <v>655</v>
      </c>
      <c r="B544" s="68">
        <v>806</v>
      </c>
      <c r="C544" s="57" t="s">
        <v>106</v>
      </c>
      <c r="D544" s="57" t="s">
        <v>25</v>
      </c>
      <c r="E544" s="57" t="s">
        <v>215</v>
      </c>
      <c r="F544" s="57"/>
      <c r="G544" s="91">
        <f>G545</f>
        <v>30833.3</v>
      </c>
      <c r="H544" s="91">
        <f>H545</f>
        <v>257.3</v>
      </c>
      <c r="I544" s="91">
        <f t="shared" si="55"/>
        <v>31090.6</v>
      </c>
      <c r="J544" s="91">
        <f>J545</f>
        <v>3793.3</v>
      </c>
      <c r="K544" s="91">
        <f t="shared" si="56"/>
        <v>34883.9</v>
      </c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</row>
    <row r="545" spans="1:23" ht="16.5">
      <c r="A545" s="123" t="s">
        <v>63</v>
      </c>
      <c r="B545" s="68">
        <v>806</v>
      </c>
      <c r="C545" s="57" t="s">
        <v>106</v>
      </c>
      <c r="D545" s="57" t="s">
        <v>25</v>
      </c>
      <c r="E545" s="57" t="s">
        <v>215</v>
      </c>
      <c r="F545" s="57" t="s">
        <v>660</v>
      </c>
      <c r="G545" s="91">
        <f>'прил.8'!G501</f>
        <v>30833.3</v>
      </c>
      <c r="H545" s="91">
        <f>'прил.8'!H501</f>
        <v>257.3</v>
      </c>
      <c r="I545" s="91">
        <f t="shared" si="55"/>
        <v>31090.6</v>
      </c>
      <c r="J545" s="91">
        <f>'прил.8'!J501+'прил.8'!J1040</f>
        <v>3793.3</v>
      </c>
      <c r="K545" s="91">
        <f t="shared" si="56"/>
        <v>34883.9</v>
      </c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</row>
    <row r="546" spans="1:23" ht="16.5" hidden="1">
      <c r="A546" s="127" t="s">
        <v>192</v>
      </c>
      <c r="B546" s="68">
        <v>806</v>
      </c>
      <c r="C546" s="57" t="s">
        <v>106</v>
      </c>
      <c r="D546" s="57" t="s">
        <v>25</v>
      </c>
      <c r="E546" s="57" t="s">
        <v>561</v>
      </c>
      <c r="F546" s="57"/>
      <c r="G546" s="91">
        <f aca="true" t="shared" si="58" ref="G546:J547">G547</f>
        <v>0</v>
      </c>
      <c r="H546" s="91">
        <f t="shared" si="58"/>
        <v>0</v>
      </c>
      <c r="I546" s="91">
        <f t="shared" si="55"/>
        <v>0</v>
      </c>
      <c r="J546" s="91">
        <f t="shared" si="58"/>
        <v>0</v>
      </c>
      <c r="K546" s="91">
        <f t="shared" si="56"/>
        <v>0</v>
      </c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</row>
    <row r="547" spans="1:23" ht="88.5" customHeight="1" hidden="1">
      <c r="A547" s="127" t="s">
        <v>10</v>
      </c>
      <c r="B547" s="68">
        <v>806</v>
      </c>
      <c r="C547" s="57" t="s">
        <v>106</v>
      </c>
      <c r="D547" s="57" t="s">
        <v>25</v>
      </c>
      <c r="E547" s="57" t="s">
        <v>142</v>
      </c>
      <c r="F547" s="57"/>
      <c r="G547" s="91">
        <f t="shared" si="58"/>
        <v>0</v>
      </c>
      <c r="H547" s="91">
        <f t="shared" si="58"/>
        <v>0</v>
      </c>
      <c r="I547" s="91">
        <f t="shared" si="55"/>
        <v>0</v>
      </c>
      <c r="J547" s="91">
        <f t="shared" si="58"/>
        <v>0</v>
      </c>
      <c r="K547" s="91">
        <f t="shared" si="56"/>
        <v>0</v>
      </c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</row>
    <row r="548" spans="1:23" ht="18" customHeight="1" hidden="1">
      <c r="A548" s="123" t="s">
        <v>63</v>
      </c>
      <c r="B548" s="68">
        <v>806</v>
      </c>
      <c r="C548" s="57" t="s">
        <v>106</v>
      </c>
      <c r="D548" s="57" t="s">
        <v>25</v>
      </c>
      <c r="E548" s="57" t="s">
        <v>142</v>
      </c>
      <c r="F548" s="57" t="s">
        <v>660</v>
      </c>
      <c r="G548" s="91">
        <f>'прил.8'!G504</f>
        <v>0</v>
      </c>
      <c r="H548" s="91">
        <f>'прил.8'!H504</f>
        <v>0</v>
      </c>
      <c r="I548" s="91">
        <f t="shared" si="55"/>
        <v>0</v>
      </c>
      <c r="J548" s="91">
        <f>'прил.8'!J504</f>
        <v>0</v>
      </c>
      <c r="K548" s="91">
        <f t="shared" si="56"/>
        <v>0</v>
      </c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</row>
    <row r="549" spans="1:23" ht="18" customHeight="1">
      <c r="A549" s="121" t="s">
        <v>796</v>
      </c>
      <c r="B549" s="68">
        <v>806</v>
      </c>
      <c r="C549" s="57" t="s">
        <v>106</v>
      </c>
      <c r="D549" s="57" t="s">
        <v>26</v>
      </c>
      <c r="E549" s="57"/>
      <c r="F549" s="57"/>
      <c r="G549" s="91">
        <f>G550+G555</f>
        <v>2882.1</v>
      </c>
      <c r="H549" s="91">
        <f>H550+H555</f>
        <v>78.9</v>
      </c>
      <c r="I549" s="91">
        <f t="shared" si="55"/>
        <v>2961</v>
      </c>
      <c r="J549" s="91">
        <f>J550+J555</f>
        <v>521.7</v>
      </c>
      <c r="K549" s="91">
        <f t="shared" si="56"/>
        <v>3482.7</v>
      </c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</row>
    <row r="550" spans="1:23" ht="18" customHeight="1">
      <c r="A550" s="127" t="s">
        <v>792</v>
      </c>
      <c r="B550" s="68">
        <v>806</v>
      </c>
      <c r="C550" s="57" t="s">
        <v>106</v>
      </c>
      <c r="D550" s="57" t="s">
        <v>26</v>
      </c>
      <c r="E550" s="57" t="s">
        <v>210</v>
      </c>
      <c r="F550" s="57"/>
      <c r="G550" s="91">
        <f>G551+G553</f>
        <v>2552.6</v>
      </c>
      <c r="H550" s="91">
        <f>H551+H553</f>
        <v>78.9</v>
      </c>
      <c r="I550" s="91">
        <f t="shared" si="55"/>
        <v>2631.5</v>
      </c>
      <c r="J550" s="91">
        <f>J551+J553</f>
        <v>521.7</v>
      </c>
      <c r="K550" s="91">
        <f t="shared" si="56"/>
        <v>3153.2</v>
      </c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</row>
    <row r="551" spans="1:23" ht="18.75" customHeight="1">
      <c r="A551" s="121" t="s">
        <v>677</v>
      </c>
      <c r="B551" s="68">
        <v>806</v>
      </c>
      <c r="C551" s="57" t="s">
        <v>106</v>
      </c>
      <c r="D551" s="57" t="s">
        <v>26</v>
      </c>
      <c r="E551" s="57" t="s">
        <v>598</v>
      </c>
      <c r="F551" s="57"/>
      <c r="G551" s="91">
        <f>G552</f>
        <v>49.5</v>
      </c>
      <c r="H551" s="91">
        <f>H552</f>
        <v>0</v>
      </c>
      <c r="I551" s="91">
        <f t="shared" si="55"/>
        <v>49.5</v>
      </c>
      <c r="J551" s="91">
        <f>J552</f>
        <v>0</v>
      </c>
      <c r="K551" s="91">
        <f t="shared" si="56"/>
        <v>49.5</v>
      </c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</row>
    <row r="552" spans="1:23" ht="18.75" customHeight="1">
      <c r="A552" s="123" t="s">
        <v>63</v>
      </c>
      <c r="B552" s="68">
        <v>806</v>
      </c>
      <c r="C552" s="57" t="s">
        <v>106</v>
      </c>
      <c r="D552" s="57" t="s">
        <v>26</v>
      </c>
      <c r="E552" s="57" t="s">
        <v>598</v>
      </c>
      <c r="F552" s="57" t="s">
        <v>660</v>
      </c>
      <c r="G552" s="91">
        <f>'прил.8'!G508</f>
        <v>49.5</v>
      </c>
      <c r="H552" s="91">
        <f>'прил.8'!H508</f>
        <v>0</v>
      </c>
      <c r="I552" s="91">
        <f t="shared" si="55"/>
        <v>49.5</v>
      </c>
      <c r="J552" s="91">
        <f>'прил.8'!J508</f>
        <v>0</v>
      </c>
      <c r="K552" s="91">
        <f t="shared" si="56"/>
        <v>49.5</v>
      </c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</row>
    <row r="553" spans="1:23" ht="18" customHeight="1">
      <c r="A553" s="121" t="s">
        <v>655</v>
      </c>
      <c r="B553" s="68">
        <v>806</v>
      </c>
      <c r="C553" s="57" t="s">
        <v>106</v>
      </c>
      <c r="D553" s="57" t="s">
        <v>26</v>
      </c>
      <c r="E553" s="57" t="s">
        <v>211</v>
      </c>
      <c r="F553" s="76"/>
      <c r="G553" s="91">
        <f>G554</f>
        <v>2503.1</v>
      </c>
      <c r="H553" s="91">
        <f>H554</f>
        <v>78.9</v>
      </c>
      <c r="I553" s="91">
        <f t="shared" si="55"/>
        <v>2582</v>
      </c>
      <c r="J553" s="91">
        <f>J554</f>
        <v>521.7</v>
      </c>
      <c r="K553" s="91">
        <f t="shared" si="56"/>
        <v>3103.7</v>
      </c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</row>
    <row r="554" spans="1:23" s="22" customFormat="1" ht="20.25" customHeight="1">
      <c r="A554" s="123" t="s">
        <v>63</v>
      </c>
      <c r="B554" s="68">
        <v>806</v>
      </c>
      <c r="C554" s="57" t="s">
        <v>106</v>
      </c>
      <c r="D554" s="57" t="s">
        <v>26</v>
      </c>
      <c r="E554" s="57" t="s">
        <v>211</v>
      </c>
      <c r="F554" s="57" t="s">
        <v>660</v>
      </c>
      <c r="G554" s="91">
        <f>'прил.8'!G510</f>
        <v>2503.1</v>
      </c>
      <c r="H554" s="91">
        <f>'прил.8'!H510</f>
        <v>78.9</v>
      </c>
      <c r="I554" s="91">
        <f t="shared" si="55"/>
        <v>2582</v>
      </c>
      <c r="J554" s="91">
        <f>'прил.8'!J510</f>
        <v>521.7</v>
      </c>
      <c r="K554" s="91">
        <f t="shared" si="56"/>
        <v>3103.7</v>
      </c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</row>
    <row r="555" spans="1:23" s="23" customFormat="1" ht="18" customHeight="1">
      <c r="A555" s="121" t="s">
        <v>795</v>
      </c>
      <c r="B555" s="68"/>
      <c r="C555" s="57" t="s">
        <v>106</v>
      </c>
      <c r="D555" s="57" t="s">
        <v>26</v>
      </c>
      <c r="E555" s="57" t="s">
        <v>214</v>
      </c>
      <c r="F555" s="57"/>
      <c r="G555" s="91">
        <f>G556+G558</f>
        <v>329.5</v>
      </c>
      <c r="H555" s="91">
        <f>H556+H558</f>
        <v>0</v>
      </c>
      <c r="I555" s="91">
        <f t="shared" si="55"/>
        <v>329.5</v>
      </c>
      <c r="J555" s="91">
        <f>J556+J558</f>
        <v>0</v>
      </c>
      <c r="K555" s="91">
        <f t="shared" si="56"/>
        <v>329.5</v>
      </c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</row>
    <row r="556" spans="1:23" ht="18" customHeight="1">
      <c r="A556" s="121" t="s">
        <v>677</v>
      </c>
      <c r="B556" s="68"/>
      <c r="C556" s="57" t="s">
        <v>106</v>
      </c>
      <c r="D556" s="57" t="s">
        <v>26</v>
      </c>
      <c r="E556" s="57" t="s">
        <v>599</v>
      </c>
      <c r="F556" s="57"/>
      <c r="G556" s="91">
        <f>G557</f>
        <v>37.7</v>
      </c>
      <c r="H556" s="91">
        <f>H557</f>
        <v>0</v>
      </c>
      <c r="I556" s="91">
        <f t="shared" si="55"/>
        <v>37.7</v>
      </c>
      <c r="J556" s="91">
        <f>J557</f>
        <v>0</v>
      </c>
      <c r="K556" s="91">
        <f t="shared" si="56"/>
        <v>37.7</v>
      </c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</row>
    <row r="557" spans="1:23" ht="18" customHeight="1">
      <c r="A557" s="123" t="s">
        <v>63</v>
      </c>
      <c r="B557" s="68"/>
      <c r="C557" s="57" t="s">
        <v>106</v>
      </c>
      <c r="D557" s="57" t="s">
        <v>26</v>
      </c>
      <c r="E557" s="57" t="s">
        <v>599</v>
      </c>
      <c r="F557" s="57" t="s">
        <v>660</v>
      </c>
      <c r="G557" s="91">
        <f>'прил.8'!G513</f>
        <v>37.7</v>
      </c>
      <c r="H557" s="91">
        <f>'прил.8'!H513</f>
        <v>0</v>
      </c>
      <c r="I557" s="91">
        <f t="shared" si="55"/>
        <v>37.7</v>
      </c>
      <c r="J557" s="91">
        <f>'прил.8'!J513</f>
        <v>0</v>
      </c>
      <c r="K557" s="91">
        <f t="shared" si="56"/>
        <v>37.7</v>
      </c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 spans="1:23" ht="18" customHeight="1">
      <c r="A558" s="121" t="s">
        <v>655</v>
      </c>
      <c r="B558" s="68"/>
      <c r="C558" s="57" t="s">
        <v>106</v>
      </c>
      <c r="D558" s="57" t="s">
        <v>26</v>
      </c>
      <c r="E558" s="57" t="s">
        <v>215</v>
      </c>
      <c r="F558" s="57"/>
      <c r="G558" s="91">
        <f>G559</f>
        <v>291.8</v>
      </c>
      <c r="H558" s="91">
        <f>H559</f>
        <v>0</v>
      </c>
      <c r="I558" s="91">
        <f t="shared" si="55"/>
        <v>291.8</v>
      </c>
      <c r="J558" s="91">
        <f>J559</f>
        <v>0</v>
      </c>
      <c r="K558" s="91">
        <f t="shared" si="56"/>
        <v>291.8</v>
      </c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</row>
    <row r="559" spans="1:23" ht="18" customHeight="1">
      <c r="A559" s="123" t="s">
        <v>63</v>
      </c>
      <c r="B559" s="68"/>
      <c r="C559" s="57" t="s">
        <v>106</v>
      </c>
      <c r="D559" s="57" t="s">
        <v>26</v>
      </c>
      <c r="E559" s="57" t="s">
        <v>215</v>
      </c>
      <c r="F559" s="57" t="s">
        <v>660</v>
      </c>
      <c r="G559" s="91">
        <f>'прил.8'!G515</f>
        <v>291.8</v>
      </c>
      <c r="H559" s="91">
        <f>'прил.8'!H515</f>
        <v>0</v>
      </c>
      <c r="I559" s="91">
        <f t="shared" si="55"/>
        <v>291.8</v>
      </c>
      <c r="J559" s="91">
        <f>'прил.8'!J515</f>
        <v>0</v>
      </c>
      <c r="K559" s="91">
        <f t="shared" si="56"/>
        <v>291.8</v>
      </c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</row>
    <row r="560" spans="1:23" ht="16.5">
      <c r="A560" s="127" t="s">
        <v>797</v>
      </c>
      <c r="B560" s="68">
        <v>806</v>
      </c>
      <c r="C560" s="57" t="s">
        <v>106</v>
      </c>
      <c r="D560" s="57" t="s">
        <v>27</v>
      </c>
      <c r="E560" s="57"/>
      <c r="F560" s="57"/>
      <c r="G560" s="91">
        <f>G561+G568</f>
        <v>126600.90000000001</v>
      </c>
      <c r="H560" s="91">
        <f>H561+H568</f>
        <v>17700</v>
      </c>
      <c r="I560" s="91">
        <f t="shared" si="55"/>
        <v>144300.90000000002</v>
      </c>
      <c r="J560" s="91">
        <f>J561+J568</f>
        <v>8340.6</v>
      </c>
      <c r="K560" s="91">
        <f t="shared" si="56"/>
        <v>152641.50000000003</v>
      </c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</row>
    <row r="561" spans="1:11" s="13" customFormat="1" ht="16.5">
      <c r="A561" s="121" t="s">
        <v>798</v>
      </c>
      <c r="B561" s="68">
        <v>806</v>
      </c>
      <c r="C561" s="57" t="s">
        <v>106</v>
      </c>
      <c r="D561" s="57" t="s">
        <v>27</v>
      </c>
      <c r="E561" s="57" t="s">
        <v>216</v>
      </c>
      <c r="F561" s="57"/>
      <c r="G561" s="91">
        <f>G564+G566</f>
        <v>107482.90000000001</v>
      </c>
      <c r="H561" s="91">
        <f>H564+H566+H562</f>
        <v>17700</v>
      </c>
      <c r="I561" s="91">
        <f t="shared" si="55"/>
        <v>125182.90000000001</v>
      </c>
      <c r="J561" s="91">
        <f>J564+J566+J562</f>
        <v>8340.6</v>
      </c>
      <c r="K561" s="91">
        <f t="shared" si="56"/>
        <v>133523.5</v>
      </c>
    </row>
    <row r="562" spans="1:11" s="13" customFormat="1" ht="49.5">
      <c r="A562" s="136" t="s">
        <v>151</v>
      </c>
      <c r="B562" s="68"/>
      <c r="C562" s="67" t="s">
        <v>106</v>
      </c>
      <c r="D562" s="67" t="s">
        <v>27</v>
      </c>
      <c r="E562" s="67" t="s">
        <v>84</v>
      </c>
      <c r="F562" s="67"/>
      <c r="G562" s="91"/>
      <c r="H562" s="91">
        <f>H563</f>
        <v>17700</v>
      </c>
      <c r="I562" s="91">
        <f t="shared" si="55"/>
        <v>17700</v>
      </c>
      <c r="J562" s="91">
        <f>J563</f>
        <v>0</v>
      </c>
      <c r="K562" s="91">
        <f t="shared" si="56"/>
        <v>17700</v>
      </c>
    </row>
    <row r="563" spans="1:11" s="13" customFormat="1" ht="16.5">
      <c r="A563" s="124" t="s">
        <v>63</v>
      </c>
      <c r="B563" s="68"/>
      <c r="C563" s="67" t="s">
        <v>106</v>
      </c>
      <c r="D563" s="67" t="s">
        <v>27</v>
      </c>
      <c r="E563" s="67" t="s">
        <v>84</v>
      </c>
      <c r="F563" s="67" t="s">
        <v>660</v>
      </c>
      <c r="G563" s="91"/>
      <c r="H563" s="91">
        <f>'прил.8'!H519</f>
        <v>17700</v>
      </c>
      <c r="I563" s="91">
        <f t="shared" si="55"/>
        <v>17700</v>
      </c>
      <c r="J563" s="91">
        <f>'прил.8'!J519</f>
        <v>0</v>
      </c>
      <c r="K563" s="91">
        <f t="shared" si="56"/>
        <v>17700</v>
      </c>
    </row>
    <row r="564" spans="1:11" s="13" customFormat="1" ht="16.5">
      <c r="A564" s="121" t="s">
        <v>677</v>
      </c>
      <c r="B564" s="68">
        <v>806</v>
      </c>
      <c r="C564" s="57" t="s">
        <v>106</v>
      </c>
      <c r="D564" s="57" t="s">
        <v>27</v>
      </c>
      <c r="E564" s="57" t="s">
        <v>32</v>
      </c>
      <c r="F564" s="57"/>
      <c r="G564" s="91">
        <f>G565</f>
        <v>333.6</v>
      </c>
      <c r="H564" s="91">
        <f>H565</f>
        <v>0</v>
      </c>
      <c r="I564" s="91">
        <f t="shared" si="55"/>
        <v>333.6</v>
      </c>
      <c r="J564" s="91">
        <f>J565</f>
        <v>0</v>
      </c>
      <c r="K564" s="91">
        <f t="shared" si="56"/>
        <v>333.6</v>
      </c>
    </row>
    <row r="565" spans="1:23" ht="16.5">
      <c r="A565" s="123" t="s">
        <v>63</v>
      </c>
      <c r="B565" s="68">
        <v>806</v>
      </c>
      <c r="C565" s="57" t="s">
        <v>106</v>
      </c>
      <c r="D565" s="57" t="s">
        <v>27</v>
      </c>
      <c r="E565" s="57" t="s">
        <v>32</v>
      </c>
      <c r="F565" s="57" t="s">
        <v>660</v>
      </c>
      <c r="G565" s="91">
        <f>'прил.8'!G521</f>
        <v>333.6</v>
      </c>
      <c r="H565" s="91">
        <f>'прил.8'!H521</f>
        <v>0</v>
      </c>
      <c r="I565" s="91">
        <f aca="true" t="shared" si="59" ref="I565:I637">G565+H565</f>
        <v>333.6</v>
      </c>
      <c r="J565" s="91">
        <f>'прил.8'!J521</f>
        <v>0</v>
      </c>
      <c r="K565" s="91">
        <f aca="true" t="shared" si="60" ref="K565:K637">I565+J565</f>
        <v>333.6</v>
      </c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</row>
    <row r="566" spans="1:23" ht="16.5">
      <c r="A566" s="121" t="s">
        <v>655</v>
      </c>
      <c r="B566" s="68">
        <v>806</v>
      </c>
      <c r="C566" s="57" t="s">
        <v>106</v>
      </c>
      <c r="D566" s="57" t="s">
        <v>27</v>
      </c>
      <c r="E566" s="57" t="s">
        <v>217</v>
      </c>
      <c r="F566" s="57"/>
      <c r="G566" s="91">
        <f>G567</f>
        <v>107149.3</v>
      </c>
      <c r="H566" s="91">
        <f>H567</f>
        <v>0</v>
      </c>
      <c r="I566" s="91">
        <f t="shared" si="59"/>
        <v>107149.3</v>
      </c>
      <c r="J566" s="91">
        <f>J567</f>
        <v>8340.6</v>
      </c>
      <c r="K566" s="91">
        <f t="shared" si="60"/>
        <v>115489.90000000001</v>
      </c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</row>
    <row r="567" spans="1:23" ht="16.5">
      <c r="A567" s="123" t="s">
        <v>63</v>
      </c>
      <c r="B567" s="68">
        <v>806</v>
      </c>
      <c r="C567" s="57" t="s">
        <v>106</v>
      </c>
      <c r="D567" s="57" t="s">
        <v>27</v>
      </c>
      <c r="E567" s="57" t="s">
        <v>217</v>
      </c>
      <c r="F567" s="57" t="s">
        <v>660</v>
      </c>
      <c r="G567" s="91">
        <f>'прил.8'!G523</f>
        <v>107149.3</v>
      </c>
      <c r="H567" s="91">
        <f>'прил.8'!H523</f>
        <v>0</v>
      </c>
      <c r="I567" s="91">
        <f t="shared" si="59"/>
        <v>107149.3</v>
      </c>
      <c r="J567" s="91">
        <f>'прил.8'!J523</f>
        <v>8340.6</v>
      </c>
      <c r="K567" s="91">
        <f t="shared" si="60"/>
        <v>115489.90000000001</v>
      </c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</row>
    <row r="568" spans="1:23" ht="18.75" customHeight="1">
      <c r="A568" s="127" t="s">
        <v>799</v>
      </c>
      <c r="B568" s="68">
        <v>806</v>
      </c>
      <c r="C568" s="57" t="s">
        <v>106</v>
      </c>
      <c r="D568" s="57" t="s">
        <v>27</v>
      </c>
      <c r="E568" s="57" t="s">
        <v>561</v>
      </c>
      <c r="F568" s="57"/>
      <c r="G568" s="91">
        <f aca="true" t="shared" si="61" ref="G568:J569">G569</f>
        <v>19118</v>
      </c>
      <c r="H568" s="91">
        <f t="shared" si="61"/>
        <v>0</v>
      </c>
      <c r="I568" s="91">
        <f t="shared" si="59"/>
        <v>19118</v>
      </c>
      <c r="J568" s="91">
        <f t="shared" si="61"/>
        <v>0</v>
      </c>
      <c r="K568" s="91">
        <f t="shared" si="60"/>
        <v>19118</v>
      </c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</row>
    <row r="569" spans="1:23" ht="51" customHeight="1">
      <c r="A569" s="124" t="s">
        <v>519</v>
      </c>
      <c r="B569" s="68">
        <v>806</v>
      </c>
      <c r="C569" s="57" t="s">
        <v>106</v>
      </c>
      <c r="D569" s="57" t="s">
        <v>27</v>
      </c>
      <c r="E569" s="57" t="s">
        <v>143</v>
      </c>
      <c r="F569" s="57"/>
      <c r="G569" s="91">
        <f t="shared" si="61"/>
        <v>19118</v>
      </c>
      <c r="H569" s="91">
        <f t="shared" si="61"/>
        <v>0</v>
      </c>
      <c r="I569" s="91">
        <f t="shared" si="59"/>
        <v>19118</v>
      </c>
      <c r="J569" s="91">
        <f t="shared" si="61"/>
        <v>0</v>
      </c>
      <c r="K569" s="91">
        <f t="shared" si="60"/>
        <v>19118</v>
      </c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</row>
    <row r="570" spans="1:23" ht="16.5">
      <c r="A570" s="123" t="s">
        <v>63</v>
      </c>
      <c r="B570" s="68">
        <v>806</v>
      </c>
      <c r="C570" s="57" t="s">
        <v>106</v>
      </c>
      <c r="D570" s="57" t="s">
        <v>27</v>
      </c>
      <c r="E570" s="57" t="s">
        <v>143</v>
      </c>
      <c r="F570" s="57" t="s">
        <v>660</v>
      </c>
      <c r="G570" s="91">
        <f>'прил.8'!G526</f>
        <v>19118</v>
      </c>
      <c r="H570" s="91">
        <f>'прил.8'!H526</f>
        <v>0</v>
      </c>
      <c r="I570" s="91">
        <f t="shared" si="59"/>
        <v>19118</v>
      </c>
      <c r="J570" s="91">
        <f>'прил.8'!J526</f>
        <v>0</v>
      </c>
      <c r="K570" s="91">
        <f t="shared" si="60"/>
        <v>19118</v>
      </c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</row>
    <row r="571" spans="1:23" ht="16.5">
      <c r="A571" s="127" t="s">
        <v>800</v>
      </c>
      <c r="B571" s="68">
        <v>806</v>
      </c>
      <c r="C571" s="57" t="s">
        <v>106</v>
      </c>
      <c r="D571" s="57" t="s">
        <v>108</v>
      </c>
      <c r="E571" s="57"/>
      <c r="F571" s="57"/>
      <c r="G571" s="91">
        <f>G572</f>
        <v>7488.099999999999</v>
      </c>
      <c r="H571" s="91">
        <f>H572</f>
        <v>0</v>
      </c>
      <c r="I571" s="91">
        <f t="shared" si="59"/>
        <v>7488.099999999999</v>
      </c>
      <c r="J571" s="91">
        <f>J572</f>
        <v>412.8</v>
      </c>
      <c r="K571" s="91">
        <f t="shared" si="60"/>
        <v>7900.9</v>
      </c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</row>
    <row r="572" spans="1:23" ht="16.5">
      <c r="A572" s="121" t="s">
        <v>801</v>
      </c>
      <c r="B572" s="68">
        <v>806</v>
      </c>
      <c r="C572" s="57" t="s">
        <v>106</v>
      </c>
      <c r="D572" s="57" t="s">
        <v>108</v>
      </c>
      <c r="E572" s="57" t="s">
        <v>218</v>
      </c>
      <c r="F572" s="57"/>
      <c r="G572" s="91">
        <f>G573+G575</f>
        <v>7488.099999999999</v>
      </c>
      <c r="H572" s="91">
        <f>H573+H575</f>
        <v>0</v>
      </c>
      <c r="I572" s="91">
        <f t="shared" si="59"/>
        <v>7488.099999999999</v>
      </c>
      <c r="J572" s="91">
        <f>J573+J575</f>
        <v>412.8</v>
      </c>
      <c r="K572" s="91">
        <f t="shared" si="60"/>
        <v>7900.9</v>
      </c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</row>
    <row r="573" spans="1:23" ht="17.25" customHeight="1">
      <c r="A573" s="121" t="s">
        <v>677</v>
      </c>
      <c r="B573" s="68">
        <v>806</v>
      </c>
      <c r="C573" s="57" t="s">
        <v>106</v>
      </c>
      <c r="D573" s="57" t="s">
        <v>108</v>
      </c>
      <c r="E573" s="57" t="s">
        <v>600</v>
      </c>
      <c r="F573" s="57"/>
      <c r="G573" s="91">
        <f>G574</f>
        <v>219.7</v>
      </c>
      <c r="H573" s="91">
        <f>H574</f>
        <v>0</v>
      </c>
      <c r="I573" s="91">
        <f t="shared" si="59"/>
        <v>219.7</v>
      </c>
      <c r="J573" s="91">
        <f>J574</f>
        <v>0</v>
      </c>
      <c r="K573" s="91">
        <f t="shared" si="60"/>
        <v>219.7</v>
      </c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</row>
    <row r="574" spans="1:23" ht="16.5">
      <c r="A574" s="123" t="s">
        <v>63</v>
      </c>
      <c r="B574" s="68">
        <v>806</v>
      </c>
      <c r="C574" s="57" t="s">
        <v>106</v>
      </c>
      <c r="D574" s="57" t="s">
        <v>108</v>
      </c>
      <c r="E574" s="57" t="s">
        <v>600</v>
      </c>
      <c r="F574" s="57" t="s">
        <v>660</v>
      </c>
      <c r="G574" s="91">
        <f>'прил.8'!G530</f>
        <v>219.7</v>
      </c>
      <c r="H574" s="91">
        <f>'прил.8'!H530</f>
        <v>0</v>
      </c>
      <c r="I574" s="91">
        <f t="shared" si="59"/>
        <v>219.7</v>
      </c>
      <c r="J574" s="91">
        <f>'прил.8'!J530</f>
        <v>0</v>
      </c>
      <c r="K574" s="91">
        <f t="shared" si="60"/>
        <v>219.7</v>
      </c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</row>
    <row r="575" spans="1:23" ht="15.75" customHeight="1">
      <c r="A575" s="121" t="s">
        <v>655</v>
      </c>
      <c r="B575" s="68">
        <v>806</v>
      </c>
      <c r="C575" s="57" t="s">
        <v>106</v>
      </c>
      <c r="D575" s="57" t="s">
        <v>108</v>
      </c>
      <c r="E575" s="57" t="s">
        <v>219</v>
      </c>
      <c r="F575" s="57"/>
      <c r="G575" s="91">
        <f>G576</f>
        <v>7268.4</v>
      </c>
      <c r="H575" s="91">
        <f>H576</f>
        <v>0</v>
      </c>
      <c r="I575" s="91">
        <f t="shared" si="59"/>
        <v>7268.4</v>
      </c>
      <c r="J575" s="91">
        <f>J576</f>
        <v>412.8</v>
      </c>
      <c r="K575" s="91">
        <f t="shared" si="60"/>
        <v>7681.2</v>
      </c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</row>
    <row r="576" spans="1:23" ht="18" customHeight="1">
      <c r="A576" s="123" t="s">
        <v>63</v>
      </c>
      <c r="B576" s="68">
        <v>806</v>
      </c>
      <c r="C576" s="57" t="s">
        <v>106</v>
      </c>
      <c r="D576" s="57" t="s">
        <v>108</v>
      </c>
      <c r="E576" s="57" t="s">
        <v>219</v>
      </c>
      <c r="F576" s="57" t="s">
        <v>660</v>
      </c>
      <c r="G576" s="91">
        <f>'прил.8'!G532</f>
        <v>7268.4</v>
      </c>
      <c r="H576" s="91">
        <f>'прил.8'!H532</f>
        <v>0</v>
      </c>
      <c r="I576" s="91">
        <f t="shared" si="59"/>
        <v>7268.4</v>
      </c>
      <c r="J576" s="91">
        <f>'прил.8'!J532</f>
        <v>412.8</v>
      </c>
      <c r="K576" s="91">
        <f t="shared" si="60"/>
        <v>7681.2</v>
      </c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</row>
    <row r="577" spans="1:23" ht="21.75" customHeight="1">
      <c r="A577" s="127" t="s">
        <v>802</v>
      </c>
      <c r="B577" s="68">
        <v>806</v>
      </c>
      <c r="C577" s="57" t="s">
        <v>106</v>
      </c>
      <c r="D577" s="57" t="s">
        <v>106</v>
      </c>
      <c r="E577" s="57"/>
      <c r="F577" s="57"/>
      <c r="G577" s="91">
        <f>G578+G581+G586+G606+G614+G591+G598</f>
        <v>31336.800000000003</v>
      </c>
      <c r="H577" s="91">
        <f>H578+H581+H586+H606+H614+H591+H597</f>
        <v>219</v>
      </c>
      <c r="I577" s="91">
        <f t="shared" si="59"/>
        <v>31555.800000000003</v>
      </c>
      <c r="J577" s="91">
        <f>J578+J581+J586+J606+J614+J591+J597</f>
        <v>5502.2</v>
      </c>
      <c r="K577" s="91">
        <f t="shared" si="60"/>
        <v>37058</v>
      </c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</row>
    <row r="578" spans="1:23" ht="54" customHeight="1">
      <c r="A578" s="123" t="s">
        <v>93</v>
      </c>
      <c r="B578" s="68">
        <v>806</v>
      </c>
      <c r="C578" s="57" t="s">
        <v>106</v>
      </c>
      <c r="D578" s="57" t="s">
        <v>106</v>
      </c>
      <c r="E578" s="57" t="s">
        <v>94</v>
      </c>
      <c r="F578" s="57"/>
      <c r="G578" s="91">
        <f aca="true" t="shared" si="62" ref="G578:J579">G579</f>
        <v>8910.5</v>
      </c>
      <c r="H578" s="91">
        <f t="shared" si="62"/>
        <v>14.5</v>
      </c>
      <c r="I578" s="91">
        <f t="shared" si="59"/>
        <v>8925</v>
      </c>
      <c r="J578" s="91">
        <f t="shared" si="62"/>
        <v>759</v>
      </c>
      <c r="K578" s="91">
        <f t="shared" si="60"/>
        <v>9684</v>
      </c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</row>
    <row r="579" spans="1:23" ht="16.5">
      <c r="A579" s="123" t="s">
        <v>673</v>
      </c>
      <c r="B579" s="68">
        <v>806</v>
      </c>
      <c r="C579" s="57" t="s">
        <v>106</v>
      </c>
      <c r="D579" s="57" t="s">
        <v>106</v>
      </c>
      <c r="E579" s="57" t="s">
        <v>96</v>
      </c>
      <c r="F579" s="57"/>
      <c r="G579" s="91">
        <f t="shared" si="62"/>
        <v>8910.5</v>
      </c>
      <c r="H579" s="91">
        <f t="shared" si="62"/>
        <v>14.5</v>
      </c>
      <c r="I579" s="91">
        <f t="shared" si="59"/>
        <v>8925</v>
      </c>
      <c r="J579" s="91">
        <f t="shared" si="62"/>
        <v>759</v>
      </c>
      <c r="K579" s="91">
        <f t="shared" si="60"/>
        <v>9684</v>
      </c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</row>
    <row r="580" spans="1:23" ht="17.25" customHeight="1">
      <c r="A580" s="123" t="s">
        <v>438</v>
      </c>
      <c r="B580" s="68">
        <v>806</v>
      </c>
      <c r="C580" s="57" t="s">
        <v>106</v>
      </c>
      <c r="D580" s="57" t="s">
        <v>106</v>
      </c>
      <c r="E580" s="57" t="s">
        <v>96</v>
      </c>
      <c r="F580" s="57" t="s">
        <v>277</v>
      </c>
      <c r="G580" s="91">
        <f>'прил.8'!G536</f>
        <v>8910.5</v>
      </c>
      <c r="H580" s="91">
        <f>'прил.8'!H536</f>
        <v>14.5</v>
      </c>
      <c r="I580" s="91">
        <f t="shared" si="59"/>
        <v>8925</v>
      </c>
      <c r="J580" s="91">
        <f>'прил.8'!J536</f>
        <v>759</v>
      </c>
      <c r="K580" s="91">
        <f t="shared" si="60"/>
        <v>9684</v>
      </c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</row>
    <row r="581" spans="1:23" ht="17.25" customHeight="1">
      <c r="A581" s="123" t="s">
        <v>199</v>
      </c>
      <c r="B581" s="68"/>
      <c r="C581" s="57" t="s">
        <v>106</v>
      </c>
      <c r="D581" s="57" t="s">
        <v>106</v>
      </c>
      <c r="E581" s="57" t="s">
        <v>33</v>
      </c>
      <c r="F581" s="57"/>
      <c r="G581" s="91">
        <f>G582+G584</f>
        <v>0</v>
      </c>
      <c r="H581" s="91">
        <f>H582+H584</f>
        <v>0</v>
      </c>
      <c r="I581" s="91">
        <f t="shared" si="59"/>
        <v>0</v>
      </c>
      <c r="J581" s="91">
        <f>J582+J584</f>
        <v>1000</v>
      </c>
      <c r="K581" s="91">
        <f t="shared" si="60"/>
        <v>1000</v>
      </c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</row>
    <row r="582" spans="1:23" ht="17.25" customHeight="1" hidden="1">
      <c r="A582" s="123" t="s">
        <v>845</v>
      </c>
      <c r="B582" s="68"/>
      <c r="C582" s="62" t="s">
        <v>106</v>
      </c>
      <c r="D582" s="57" t="s">
        <v>106</v>
      </c>
      <c r="E582" s="57" t="s">
        <v>36</v>
      </c>
      <c r="F582" s="57"/>
      <c r="G582" s="96">
        <f>G583</f>
        <v>0</v>
      </c>
      <c r="H582" s="96">
        <f>H583</f>
        <v>0</v>
      </c>
      <c r="I582" s="91">
        <f t="shared" si="59"/>
        <v>0</v>
      </c>
      <c r="J582" s="96">
        <f>J583</f>
        <v>0</v>
      </c>
      <c r="K582" s="91">
        <f t="shared" si="60"/>
        <v>0</v>
      </c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</row>
    <row r="583" spans="1:23" ht="17.25" customHeight="1" hidden="1">
      <c r="A583" s="127" t="s">
        <v>492</v>
      </c>
      <c r="B583" s="68"/>
      <c r="C583" s="62" t="s">
        <v>106</v>
      </c>
      <c r="D583" s="57" t="s">
        <v>106</v>
      </c>
      <c r="E583" s="57" t="s">
        <v>36</v>
      </c>
      <c r="F583" s="57" t="s">
        <v>49</v>
      </c>
      <c r="G583" s="96">
        <f>'прил.8'!G1161</f>
        <v>0</v>
      </c>
      <c r="H583" s="96">
        <f>'прил.8'!H1161</f>
        <v>0</v>
      </c>
      <c r="I583" s="91">
        <f t="shared" si="59"/>
        <v>0</v>
      </c>
      <c r="J583" s="96">
        <f>'прил.8'!J1161</f>
        <v>0</v>
      </c>
      <c r="K583" s="91">
        <f t="shared" si="60"/>
        <v>0</v>
      </c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</row>
    <row r="584" spans="1:23" ht="20.25" customHeight="1">
      <c r="A584" s="123" t="s">
        <v>332</v>
      </c>
      <c r="B584" s="68">
        <v>841</v>
      </c>
      <c r="C584" s="62" t="s">
        <v>106</v>
      </c>
      <c r="D584" s="57" t="s">
        <v>106</v>
      </c>
      <c r="E584" s="57" t="s">
        <v>44</v>
      </c>
      <c r="F584" s="57"/>
      <c r="G584" s="96">
        <f>G585</f>
        <v>0</v>
      </c>
      <c r="H584" s="96">
        <f>H585</f>
        <v>0</v>
      </c>
      <c r="I584" s="91">
        <f t="shared" si="59"/>
        <v>0</v>
      </c>
      <c r="J584" s="96">
        <f>J585</f>
        <v>1000</v>
      </c>
      <c r="K584" s="91">
        <f t="shared" si="60"/>
        <v>1000</v>
      </c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</row>
    <row r="585" spans="1:23" ht="17.25" customHeight="1">
      <c r="A585" s="127" t="s">
        <v>271</v>
      </c>
      <c r="B585" s="68">
        <v>841</v>
      </c>
      <c r="C585" s="62" t="s">
        <v>106</v>
      </c>
      <c r="D585" s="57" t="s">
        <v>106</v>
      </c>
      <c r="E585" s="57" t="s">
        <v>44</v>
      </c>
      <c r="F585" s="57" t="s">
        <v>49</v>
      </c>
      <c r="G585" s="96">
        <f>'прил.8'!G1163</f>
        <v>0</v>
      </c>
      <c r="H585" s="96">
        <f>'прил.8'!H1163</f>
        <v>0</v>
      </c>
      <c r="I585" s="91">
        <f t="shared" si="59"/>
        <v>0</v>
      </c>
      <c r="J585" s="96">
        <f>'прил.8'!J1163</f>
        <v>1000</v>
      </c>
      <c r="K585" s="91">
        <f t="shared" si="60"/>
        <v>1000</v>
      </c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</row>
    <row r="586" spans="1:23" ht="53.25" customHeight="1">
      <c r="A586" s="123" t="s">
        <v>783</v>
      </c>
      <c r="B586" s="68">
        <v>806</v>
      </c>
      <c r="C586" s="57" t="s">
        <v>106</v>
      </c>
      <c r="D586" s="57" t="s">
        <v>106</v>
      </c>
      <c r="E586" s="57" t="s">
        <v>648</v>
      </c>
      <c r="F586" s="57"/>
      <c r="G586" s="91">
        <f>G587+G589</f>
        <v>10283.2</v>
      </c>
      <c r="H586" s="91">
        <f>H587+H589</f>
        <v>0</v>
      </c>
      <c r="I586" s="91">
        <f t="shared" si="59"/>
        <v>10283.2</v>
      </c>
      <c r="J586" s="91">
        <f>J587+J589</f>
        <v>819.2</v>
      </c>
      <c r="K586" s="91">
        <f t="shared" si="60"/>
        <v>11102.400000000001</v>
      </c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</row>
    <row r="587" spans="1:23" ht="16.5" hidden="1">
      <c r="A587" s="121" t="s">
        <v>593</v>
      </c>
      <c r="B587" s="68">
        <v>806</v>
      </c>
      <c r="C587" s="57" t="s">
        <v>106</v>
      </c>
      <c r="D587" s="57" t="s">
        <v>106</v>
      </c>
      <c r="E587" s="57" t="s">
        <v>597</v>
      </c>
      <c r="F587" s="57"/>
      <c r="G587" s="91">
        <f>G588</f>
        <v>0</v>
      </c>
      <c r="H587" s="91">
        <f>H588</f>
        <v>0</v>
      </c>
      <c r="I587" s="91">
        <f t="shared" si="59"/>
        <v>0</v>
      </c>
      <c r="J587" s="91">
        <f>J588</f>
        <v>0</v>
      </c>
      <c r="K587" s="91">
        <f t="shared" si="60"/>
        <v>0</v>
      </c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</row>
    <row r="588" spans="1:23" ht="16.5" hidden="1">
      <c r="A588" s="123" t="s">
        <v>63</v>
      </c>
      <c r="B588" s="68">
        <v>806</v>
      </c>
      <c r="C588" s="57" t="s">
        <v>106</v>
      </c>
      <c r="D588" s="57" t="s">
        <v>106</v>
      </c>
      <c r="E588" s="57" t="s">
        <v>597</v>
      </c>
      <c r="F588" s="57" t="s">
        <v>660</v>
      </c>
      <c r="G588" s="91">
        <f>'прил.8'!G539</f>
        <v>0</v>
      </c>
      <c r="H588" s="91">
        <f>'прил.8'!H539</f>
        <v>0</v>
      </c>
      <c r="I588" s="91">
        <f t="shared" si="59"/>
        <v>0</v>
      </c>
      <c r="J588" s="91">
        <f>'прил.8'!J539</f>
        <v>0</v>
      </c>
      <c r="K588" s="91">
        <f t="shared" si="60"/>
        <v>0</v>
      </c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</row>
    <row r="589" spans="1:23" ht="16.5">
      <c r="A589" s="121" t="s">
        <v>655</v>
      </c>
      <c r="B589" s="68">
        <v>806</v>
      </c>
      <c r="C589" s="57" t="s">
        <v>106</v>
      </c>
      <c r="D589" s="57" t="s">
        <v>106</v>
      </c>
      <c r="E589" s="57" t="s">
        <v>649</v>
      </c>
      <c r="F589" s="57"/>
      <c r="G589" s="91">
        <f>G590</f>
        <v>10283.2</v>
      </c>
      <c r="H589" s="91">
        <f>H590</f>
        <v>0</v>
      </c>
      <c r="I589" s="91">
        <f t="shared" si="59"/>
        <v>10283.2</v>
      </c>
      <c r="J589" s="91">
        <f>J590</f>
        <v>819.2</v>
      </c>
      <c r="K589" s="91">
        <f t="shared" si="60"/>
        <v>11102.400000000001</v>
      </c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</row>
    <row r="590" spans="1:23" ht="16.5">
      <c r="A590" s="123" t="s">
        <v>63</v>
      </c>
      <c r="B590" s="68">
        <v>806</v>
      </c>
      <c r="C590" s="57" t="s">
        <v>106</v>
      </c>
      <c r="D590" s="57" t="s">
        <v>106</v>
      </c>
      <c r="E590" s="57" t="s">
        <v>649</v>
      </c>
      <c r="F590" s="57" t="s">
        <v>660</v>
      </c>
      <c r="G590" s="91">
        <f>'прил.8'!G541</f>
        <v>10283.2</v>
      </c>
      <c r="H590" s="91">
        <f>'прил.8'!H541</f>
        <v>0</v>
      </c>
      <c r="I590" s="91">
        <f t="shared" si="59"/>
        <v>10283.2</v>
      </c>
      <c r="J590" s="91">
        <f>'прил.8'!J541</f>
        <v>819.2</v>
      </c>
      <c r="K590" s="91">
        <f t="shared" si="60"/>
        <v>11102.400000000001</v>
      </c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</row>
    <row r="591" spans="1:23" ht="22.5" customHeight="1">
      <c r="A591" s="121" t="s">
        <v>803</v>
      </c>
      <c r="B591" s="68">
        <v>806</v>
      </c>
      <c r="C591" s="57" t="s">
        <v>106</v>
      </c>
      <c r="D591" s="57" t="s">
        <v>106</v>
      </c>
      <c r="E591" s="57" t="s">
        <v>220</v>
      </c>
      <c r="F591" s="57"/>
      <c r="G591" s="91">
        <f>G592+G594</f>
        <v>1581</v>
      </c>
      <c r="H591" s="91">
        <f>H592+H594</f>
        <v>0</v>
      </c>
      <c r="I591" s="91">
        <f t="shared" si="59"/>
        <v>1581</v>
      </c>
      <c r="J591" s="91">
        <f>J592+J594</f>
        <v>110.9</v>
      </c>
      <c r="K591" s="91">
        <f t="shared" si="60"/>
        <v>1691.9</v>
      </c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</row>
    <row r="592" spans="1:23" ht="16.5" hidden="1">
      <c r="A592" s="121" t="s">
        <v>593</v>
      </c>
      <c r="B592" s="68">
        <v>806</v>
      </c>
      <c r="C592" s="57" t="s">
        <v>106</v>
      </c>
      <c r="D592" s="57" t="s">
        <v>106</v>
      </c>
      <c r="E592" s="57" t="s">
        <v>601</v>
      </c>
      <c r="F592" s="57"/>
      <c r="G592" s="91">
        <f>G593</f>
        <v>0</v>
      </c>
      <c r="H592" s="91">
        <f>H593</f>
        <v>0</v>
      </c>
      <c r="I592" s="91">
        <f t="shared" si="59"/>
        <v>0</v>
      </c>
      <c r="J592" s="91">
        <f>J593</f>
        <v>0</v>
      </c>
      <c r="K592" s="91">
        <f t="shared" si="60"/>
        <v>0</v>
      </c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</row>
    <row r="593" spans="1:23" ht="17.25" customHeight="1" hidden="1">
      <c r="A593" s="123" t="s">
        <v>63</v>
      </c>
      <c r="B593" s="68">
        <v>806</v>
      </c>
      <c r="C593" s="57" t="s">
        <v>106</v>
      </c>
      <c r="D593" s="57" t="s">
        <v>106</v>
      </c>
      <c r="E593" s="57" t="s">
        <v>601</v>
      </c>
      <c r="F593" s="57" t="s">
        <v>660</v>
      </c>
      <c r="G593" s="91">
        <f>'прил.8'!G544</f>
        <v>0</v>
      </c>
      <c r="H593" s="91">
        <f>'прил.8'!H544</f>
        <v>0</v>
      </c>
      <c r="I593" s="91">
        <f t="shared" si="59"/>
        <v>0</v>
      </c>
      <c r="J593" s="91">
        <f>'прил.8'!J544</f>
        <v>0</v>
      </c>
      <c r="K593" s="91">
        <f t="shared" si="60"/>
        <v>0</v>
      </c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</row>
    <row r="594" spans="1:23" s="22" customFormat="1" ht="17.25" customHeight="1">
      <c r="A594" s="121" t="s">
        <v>655</v>
      </c>
      <c r="B594" s="68">
        <v>806</v>
      </c>
      <c r="C594" s="57" t="s">
        <v>106</v>
      </c>
      <c r="D594" s="57" t="s">
        <v>106</v>
      </c>
      <c r="E594" s="57" t="s">
        <v>221</v>
      </c>
      <c r="F594" s="57"/>
      <c r="G594" s="91">
        <f>G595</f>
        <v>1581</v>
      </c>
      <c r="H594" s="91">
        <f>H595</f>
        <v>0</v>
      </c>
      <c r="I594" s="91">
        <f t="shared" si="59"/>
        <v>1581</v>
      </c>
      <c r="J594" s="91">
        <f>J595</f>
        <v>110.9</v>
      </c>
      <c r="K594" s="91">
        <f t="shared" si="60"/>
        <v>1691.9</v>
      </c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</row>
    <row r="595" spans="1:23" s="23" customFormat="1" ht="16.5">
      <c r="A595" s="123" t="s">
        <v>63</v>
      </c>
      <c r="B595" s="68">
        <v>806</v>
      </c>
      <c r="C595" s="57" t="s">
        <v>106</v>
      </c>
      <c r="D595" s="57" t="s">
        <v>106</v>
      </c>
      <c r="E595" s="57" t="s">
        <v>221</v>
      </c>
      <c r="F595" s="57" t="s">
        <v>660</v>
      </c>
      <c r="G595" s="91">
        <f>'прил.8'!G546</f>
        <v>1581</v>
      </c>
      <c r="H595" s="91">
        <f>'прил.8'!H546</f>
        <v>0</v>
      </c>
      <c r="I595" s="91">
        <f t="shared" si="59"/>
        <v>1581</v>
      </c>
      <c r="J595" s="91">
        <f>'прил.8'!J546</f>
        <v>110.9</v>
      </c>
      <c r="K595" s="91">
        <f t="shared" si="60"/>
        <v>1691.9</v>
      </c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</row>
    <row r="596" spans="1:11" s="13" customFormat="1" ht="16.5">
      <c r="A596" s="123" t="s">
        <v>804</v>
      </c>
      <c r="B596" s="68"/>
      <c r="C596" s="57" t="s">
        <v>106</v>
      </c>
      <c r="D596" s="57" t="s">
        <v>106</v>
      </c>
      <c r="E596" s="57" t="s">
        <v>407</v>
      </c>
      <c r="F596" s="57"/>
      <c r="G596" s="91">
        <f aca="true" t="shared" si="63" ref="G596:J598">G597</f>
        <v>3882.4</v>
      </c>
      <c r="H596" s="91">
        <f t="shared" si="63"/>
        <v>204.5</v>
      </c>
      <c r="I596" s="91">
        <f t="shared" si="59"/>
        <v>4086.9</v>
      </c>
      <c r="J596" s="91">
        <f t="shared" si="63"/>
        <v>2813.1</v>
      </c>
      <c r="K596" s="91">
        <f t="shared" si="60"/>
        <v>6900</v>
      </c>
    </row>
    <row r="597" spans="1:11" s="13" customFormat="1" ht="16.5">
      <c r="A597" s="123" t="s">
        <v>805</v>
      </c>
      <c r="B597" s="68"/>
      <c r="C597" s="57" t="s">
        <v>106</v>
      </c>
      <c r="D597" s="57" t="s">
        <v>106</v>
      </c>
      <c r="E597" s="57" t="s">
        <v>543</v>
      </c>
      <c r="F597" s="57"/>
      <c r="G597" s="91">
        <f t="shared" si="63"/>
        <v>3882.4</v>
      </c>
      <c r="H597" s="91">
        <f>H598+H602</f>
        <v>204.5</v>
      </c>
      <c r="I597" s="91">
        <f t="shared" si="59"/>
        <v>4086.9</v>
      </c>
      <c r="J597" s="91">
        <f>J598+J602+J604+J600</f>
        <v>2813.1</v>
      </c>
      <c r="K597" s="91">
        <f t="shared" si="60"/>
        <v>6900</v>
      </c>
    </row>
    <row r="598" spans="1:11" s="13" customFormat="1" ht="35.25" customHeight="1">
      <c r="A598" s="123" t="s">
        <v>520</v>
      </c>
      <c r="B598" s="68"/>
      <c r="C598" s="57" t="s">
        <v>106</v>
      </c>
      <c r="D598" s="57" t="s">
        <v>106</v>
      </c>
      <c r="E598" s="57" t="s">
        <v>542</v>
      </c>
      <c r="F598" s="57"/>
      <c r="G598" s="91">
        <f t="shared" si="63"/>
        <v>3882.4</v>
      </c>
      <c r="H598" s="91">
        <f t="shared" si="63"/>
        <v>0</v>
      </c>
      <c r="I598" s="91">
        <f t="shared" si="59"/>
        <v>3882.4</v>
      </c>
      <c r="J598" s="91">
        <f t="shared" si="63"/>
        <v>0</v>
      </c>
      <c r="K598" s="91">
        <f t="shared" si="60"/>
        <v>3882.4</v>
      </c>
    </row>
    <row r="599" spans="1:11" s="13" customFormat="1" ht="16.5">
      <c r="A599" s="123" t="s">
        <v>530</v>
      </c>
      <c r="B599" s="68"/>
      <c r="C599" s="57" t="s">
        <v>106</v>
      </c>
      <c r="D599" s="57" t="s">
        <v>106</v>
      </c>
      <c r="E599" s="57" t="s">
        <v>542</v>
      </c>
      <c r="F599" s="57" t="s">
        <v>831</v>
      </c>
      <c r="G599" s="91">
        <f>'прил.8'!G550</f>
        <v>3882.4</v>
      </c>
      <c r="H599" s="91">
        <f>'прил.8'!H550</f>
        <v>0</v>
      </c>
      <c r="I599" s="91">
        <f t="shared" si="59"/>
        <v>3882.4</v>
      </c>
      <c r="J599" s="91">
        <f>'прил.8'!J550</f>
        <v>0</v>
      </c>
      <c r="K599" s="91">
        <f t="shared" si="60"/>
        <v>3882.4</v>
      </c>
    </row>
    <row r="600" spans="1:11" s="13" customFormat="1" ht="33">
      <c r="A600" s="140" t="s">
        <v>853</v>
      </c>
      <c r="B600" s="68"/>
      <c r="C600" s="57" t="s">
        <v>106</v>
      </c>
      <c r="D600" s="57" t="s">
        <v>106</v>
      </c>
      <c r="E600" s="57" t="s">
        <v>750</v>
      </c>
      <c r="F600" s="57"/>
      <c r="G600" s="91"/>
      <c r="H600" s="91"/>
      <c r="I600" s="91"/>
      <c r="J600" s="91">
        <f>J601</f>
        <v>152.09999999999997</v>
      </c>
      <c r="K600" s="91">
        <f t="shared" si="60"/>
        <v>152.09999999999997</v>
      </c>
    </row>
    <row r="601" spans="1:11" s="13" customFormat="1" ht="16.5">
      <c r="A601" s="141" t="s">
        <v>852</v>
      </c>
      <c r="B601" s="68"/>
      <c r="C601" s="57" t="s">
        <v>222</v>
      </c>
      <c r="D601" s="57" t="s">
        <v>106</v>
      </c>
      <c r="E601" s="57" t="s">
        <v>750</v>
      </c>
      <c r="F601" s="57" t="s">
        <v>831</v>
      </c>
      <c r="G601" s="91"/>
      <c r="H601" s="91"/>
      <c r="I601" s="91"/>
      <c r="J601" s="91">
        <f>'прил.8'!J440+'прил.8'!J552+'прил.8'!J821+'прил.8'!J703+'прил.8'!J749</f>
        <v>152.09999999999997</v>
      </c>
      <c r="K601" s="91">
        <f t="shared" si="60"/>
        <v>152.09999999999997</v>
      </c>
    </row>
    <row r="602" spans="1:11" s="13" customFormat="1" ht="33">
      <c r="A602" s="123" t="s">
        <v>752</v>
      </c>
      <c r="B602" s="68"/>
      <c r="C602" s="57" t="s">
        <v>106</v>
      </c>
      <c r="D602" s="57" t="s">
        <v>106</v>
      </c>
      <c r="E602" s="57" t="s">
        <v>321</v>
      </c>
      <c r="F602" s="57"/>
      <c r="G602" s="91"/>
      <c r="H602" s="91">
        <f>H603</f>
        <v>204.5</v>
      </c>
      <c r="I602" s="91">
        <f t="shared" si="59"/>
        <v>204.5</v>
      </c>
      <c r="J602" s="91">
        <f>J603</f>
        <v>0</v>
      </c>
      <c r="K602" s="91">
        <f t="shared" si="60"/>
        <v>204.5</v>
      </c>
    </row>
    <row r="603" spans="1:11" s="13" customFormat="1" ht="16.5">
      <c r="A603" s="124" t="s">
        <v>530</v>
      </c>
      <c r="B603" s="68"/>
      <c r="C603" s="57" t="s">
        <v>106</v>
      </c>
      <c r="D603" s="57" t="s">
        <v>106</v>
      </c>
      <c r="E603" s="57" t="s">
        <v>321</v>
      </c>
      <c r="F603" s="57" t="s">
        <v>831</v>
      </c>
      <c r="G603" s="91"/>
      <c r="H603" s="91">
        <f>'прил.8'!H554</f>
        <v>204.5</v>
      </c>
      <c r="I603" s="91">
        <f t="shared" si="59"/>
        <v>204.5</v>
      </c>
      <c r="J603" s="91">
        <f>'прил.8'!J554</f>
        <v>0</v>
      </c>
      <c r="K603" s="91">
        <f t="shared" si="60"/>
        <v>204.5</v>
      </c>
    </row>
    <row r="604" spans="1:11" s="13" customFormat="1" ht="33">
      <c r="A604" s="140" t="s">
        <v>178</v>
      </c>
      <c r="B604" s="68"/>
      <c r="C604" s="57" t="s">
        <v>106</v>
      </c>
      <c r="D604" s="57" t="s">
        <v>106</v>
      </c>
      <c r="E604" s="57" t="s">
        <v>851</v>
      </c>
      <c r="F604" s="57"/>
      <c r="G604" s="91"/>
      <c r="H604" s="91"/>
      <c r="I604" s="91"/>
      <c r="J604" s="91">
        <f>J605</f>
        <v>2661</v>
      </c>
      <c r="K604" s="91">
        <f t="shared" si="60"/>
        <v>2661</v>
      </c>
    </row>
    <row r="605" spans="1:11" s="13" customFormat="1" ht="16.5">
      <c r="A605" s="141" t="s">
        <v>852</v>
      </c>
      <c r="B605" s="68"/>
      <c r="C605" s="57" t="s">
        <v>222</v>
      </c>
      <c r="D605" s="57" t="s">
        <v>106</v>
      </c>
      <c r="E605" s="57" t="s">
        <v>851</v>
      </c>
      <c r="F605" s="57" t="s">
        <v>831</v>
      </c>
      <c r="G605" s="91"/>
      <c r="H605" s="91"/>
      <c r="I605" s="91"/>
      <c r="J605" s="91">
        <f>'прил.8'!J443+'прил.8'!J705+'прил.8'!J556+'прил.8'!J751+'прил.8'!J823</f>
        <v>2661</v>
      </c>
      <c r="K605" s="91">
        <f t="shared" si="60"/>
        <v>2661</v>
      </c>
    </row>
    <row r="606" spans="1:23" ht="16.5">
      <c r="A606" s="123" t="s">
        <v>470</v>
      </c>
      <c r="B606" s="68">
        <v>806</v>
      </c>
      <c r="C606" s="57" t="s">
        <v>106</v>
      </c>
      <c r="D606" s="57" t="s">
        <v>106</v>
      </c>
      <c r="E606" s="57" t="s">
        <v>471</v>
      </c>
      <c r="F606" s="57"/>
      <c r="G606" s="91">
        <f>G609+G611+G607</f>
        <v>2500</v>
      </c>
      <c r="H606" s="91">
        <f>H609+H611+H607</f>
        <v>0</v>
      </c>
      <c r="I606" s="91">
        <f t="shared" si="59"/>
        <v>2500</v>
      </c>
      <c r="J606" s="91">
        <f>J609+J611+J607</f>
        <v>0</v>
      </c>
      <c r="K606" s="91">
        <f t="shared" si="60"/>
        <v>2500</v>
      </c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</row>
    <row r="607" spans="1:23" ht="33" hidden="1">
      <c r="A607" s="130" t="s">
        <v>806</v>
      </c>
      <c r="B607" s="68"/>
      <c r="C607" s="57" t="s">
        <v>106</v>
      </c>
      <c r="D607" s="57" t="s">
        <v>106</v>
      </c>
      <c r="E607" s="57" t="s">
        <v>545</v>
      </c>
      <c r="F607" s="57"/>
      <c r="G607" s="91">
        <f>G608</f>
        <v>0</v>
      </c>
      <c r="H607" s="91">
        <f>H608</f>
        <v>0</v>
      </c>
      <c r="I607" s="91">
        <f t="shared" si="59"/>
        <v>0</v>
      </c>
      <c r="J607" s="91">
        <f>J608</f>
        <v>0</v>
      </c>
      <c r="K607" s="91">
        <f t="shared" si="60"/>
        <v>0</v>
      </c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</row>
    <row r="608" spans="1:23" ht="33" hidden="1">
      <c r="A608" s="123" t="s">
        <v>705</v>
      </c>
      <c r="B608" s="68"/>
      <c r="C608" s="57" t="s">
        <v>106</v>
      </c>
      <c r="D608" s="57" t="s">
        <v>106</v>
      </c>
      <c r="E608" s="57" t="s">
        <v>545</v>
      </c>
      <c r="F608" s="57" t="s">
        <v>337</v>
      </c>
      <c r="G608" s="91">
        <f>'прил.8'!G559</f>
        <v>0</v>
      </c>
      <c r="H608" s="91">
        <f>'прил.8'!H559</f>
        <v>0</v>
      </c>
      <c r="I608" s="91">
        <f t="shared" si="59"/>
        <v>0</v>
      </c>
      <c r="J608" s="91">
        <f>'прил.8'!J559</f>
        <v>0</v>
      </c>
      <c r="K608" s="91">
        <f t="shared" si="60"/>
        <v>0</v>
      </c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</row>
    <row r="609" spans="1:23" ht="37.5" customHeight="1">
      <c r="A609" s="123" t="s">
        <v>753</v>
      </c>
      <c r="B609" s="68">
        <v>806</v>
      </c>
      <c r="C609" s="57" t="s">
        <v>106</v>
      </c>
      <c r="D609" s="57" t="s">
        <v>106</v>
      </c>
      <c r="E609" s="57" t="s">
        <v>144</v>
      </c>
      <c r="F609" s="57"/>
      <c r="G609" s="91">
        <f>G610</f>
        <v>2500</v>
      </c>
      <c r="H609" s="91">
        <f>H610</f>
        <v>0</v>
      </c>
      <c r="I609" s="91">
        <f t="shared" si="59"/>
        <v>2500</v>
      </c>
      <c r="J609" s="91">
        <f>J610</f>
        <v>0</v>
      </c>
      <c r="K609" s="91">
        <f t="shared" si="60"/>
        <v>2500</v>
      </c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</row>
    <row r="610" spans="1:23" ht="21" customHeight="1">
      <c r="A610" s="71" t="s">
        <v>530</v>
      </c>
      <c r="B610" s="68">
        <v>806</v>
      </c>
      <c r="C610" s="57" t="s">
        <v>106</v>
      </c>
      <c r="D610" s="57" t="s">
        <v>106</v>
      </c>
      <c r="E610" s="57" t="s">
        <v>144</v>
      </c>
      <c r="F610" s="57" t="s">
        <v>831</v>
      </c>
      <c r="G610" s="91">
        <f>'прил.8'!G561+'прил.8'!G1044</f>
        <v>2500</v>
      </c>
      <c r="H610" s="91">
        <f>'прил.8'!H561+'прил.8'!H1044</f>
        <v>0</v>
      </c>
      <c r="I610" s="91">
        <f t="shared" si="59"/>
        <v>2500</v>
      </c>
      <c r="J610" s="91">
        <f>'прил.8'!J561+'прил.8'!J1044</f>
        <v>0</v>
      </c>
      <c r="K610" s="91">
        <f t="shared" si="60"/>
        <v>2500</v>
      </c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</row>
    <row r="611" spans="1:23" ht="35.25" customHeight="1" hidden="1">
      <c r="A611" s="121" t="s">
        <v>300</v>
      </c>
      <c r="B611" s="68"/>
      <c r="C611" s="57" t="s">
        <v>106</v>
      </c>
      <c r="D611" s="57" t="s">
        <v>106</v>
      </c>
      <c r="E611" s="57" t="s">
        <v>288</v>
      </c>
      <c r="F611" s="57"/>
      <c r="G611" s="91">
        <f>G612</f>
        <v>0</v>
      </c>
      <c r="H611" s="91">
        <f>H612</f>
        <v>0</v>
      </c>
      <c r="I611" s="91">
        <f t="shared" si="59"/>
        <v>0</v>
      </c>
      <c r="J611" s="91">
        <f>J612</f>
        <v>0</v>
      </c>
      <c r="K611" s="91">
        <f t="shared" si="60"/>
        <v>0</v>
      </c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</row>
    <row r="612" spans="1:23" ht="33" hidden="1">
      <c r="A612" s="127" t="s">
        <v>67</v>
      </c>
      <c r="B612" s="68"/>
      <c r="C612" s="57" t="s">
        <v>106</v>
      </c>
      <c r="D612" s="57" t="s">
        <v>106</v>
      </c>
      <c r="E612" s="57" t="s">
        <v>288</v>
      </c>
      <c r="F612" s="57" t="s">
        <v>66</v>
      </c>
      <c r="G612" s="91"/>
      <c r="H612" s="91"/>
      <c r="I612" s="91">
        <f t="shared" si="59"/>
        <v>0</v>
      </c>
      <c r="J612" s="91"/>
      <c r="K612" s="91">
        <f t="shared" si="60"/>
        <v>0</v>
      </c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</row>
    <row r="613" spans="1:23" ht="16.5">
      <c r="A613" s="121" t="s">
        <v>441</v>
      </c>
      <c r="B613" s="68"/>
      <c r="C613" s="57" t="s">
        <v>106</v>
      </c>
      <c r="D613" s="57" t="s">
        <v>106</v>
      </c>
      <c r="E613" s="57" t="s">
        <v>433</v>
      </c>
      <c r="F613" s="57"/>
      <c r="G613" s="91">
        <f>G614</f>
        <v>4179.7</v>
      </c>
      <c r="H613" s="91">
        <f>H614</f>
        <v>0</v>
      </c>
      <c r="I613" s="91">
        <f t="shared" si="59"/>
        <v>4179.7</v>
      </c>
      <c r="J613" s="91">
        <f>J614</f>
        <v>0</v>
      </c>
      <c r="K613" s="91">
        <f t="shared" si="60"/>
        <v>4179.7</v>
      </c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</row>
    <row r="614" spans="1:23" ht="16.5">
      <c r="A614" s="121" t="s">
        <v>470</v>
      </c>
      <c r="B614" s="68">
        <v>806</v>
      </c>
      <c r="C614" s="57" t="s">
        <v>106</v>
      </c>
      <c r="D614" s="57" t="s">
        <v>106</v>
      </c>
      <c r="E614" s="57" t="s">
        <v>434</v>
      </c>
      <c r="F614" s="57"/>
      <c r="G614" s="91">
        <f>G615+G617</f>
        <v>4179.7</v>
      </c>
      <c r="H614" s="91">
        <f>H615+H617</f>
        <v>0</v>
      </c>
      <c r="I614" s="91">
        <f t="shared" si="59"/>
        <v>4179.7</v>
      </c>
      <c r="J614" s="91">
        <f>J615+J617</f>
        <v>0</v>
      </c>
      <c r="K614" s="91">
        <f t="shared" si="60"/>
        <v>4179.7</v>
      </c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</row>
    <row r="615" spans="1:23" ht="18" customHeight="1">
      <c r="A615" s="121" t="s">
        <v>279</v>
      </c>
      <c r="B615" s="68">
        <v>806</v>
      </c>
      <c r="C615" s="57" t="s">
        <v>106</v>
      </c>
      <c r="D615" s="57" t="s">
        <v>106</v>
      </c>
      <c r="E615" s="57" t="s">
        <v>446</v>
      </c>
      <c r="F615" s="57"/>
      <c r="G615" s="91">
        <f>G616</f>
        <v>629.3</v>
      </c>
      <c r="H615" s="91">
        <f>H616</f>
        <v>0</v>
      </c>
      <c r="I615" s="91">
        <f t="shared" si="59"/>
        <v>629.3</v>
      </c>
      <c r="J615" s="91">
        <f>J616</f>
        <v>0</v>
      </c>
      <c r="K615" s="91">
        <f t="shared" si="60"/>
        <v>629.3</v>
      </c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</row>
    <row r="616" spans="1:23" ht="16.5">
      <c r="A616" s="123" t="s">
        <v>530</v>
      </c>
      <c r="B616" s="68">
        <v>806</v>
      </c>
      <c r="C616" s="57" t="s">
        <v>106</v>
      </c>
      <c r="D616" s="57" t="s">
        <v>106</v>
      </c>
      <c r="E616" s="57" t="s">
        <v>446</v>
      </c>
      <c r="F616" s="57" t="s">
        <v>831</v>
      </c>
      <c r="G616" s="91">
        <f>'прил.8'!G565</f>
        <v>629.3</v>
      </c>
      <c r="H616" s="91">
        <f>'прил.8'!H565</f>
        <v>0</v>
      </c>
      <c r="I616" s="91">
        <f t="shared" si="59"/>
        <v>629.3</v>
      </c>
      <c r="J616" s="91">
        <f>'прил.8'!J565</f>
        <v>0</v>
      </c>
      <c r="K616" s="91">
        <f t="shared" si="60"/>
        <v>629.3</v>
      </c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</row>
    <row r="617" spans="1:23" ht="16.5" customHeight="1">
      <c r="A617" s="121" t="s">
        <v>9</v>
      </c>
      <c r="B617" s="68">
        <v>806</v>
      </c>
      <c r="C617" s="57" t="s">
        <v>106</v>
      </c>
      <c r="D617" s="57" t="s">
        <v>106</v>
      </c>
      <c r="E617" s="57" t="s">
        <v>442</v>
      </c>
      <c r="F617" s="57"/>
      <c r="G617" s="91">
        <f>G618</f>
        <v>3550.4</v>
      </c>
      <c r="H617" s="91">
        <f>H618</f>
        <v>0</v>
      </c>
      <c r="I617" s="91">
        <f t="shared" si="59"/>
        <v>3550.4</v>
      </c>
      <c r="J617" s="91">
        <f>J618</f>
        <v>0</v>
      </c>
      <c r="K617" s="91">
        <f t="shared" si="60"/>
        <v>3550.4</v>
      </c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</row>
    <row r="618" spans="1:23" ht="21.75" customHeight="1">
      <c r="A618" s="134" t="s">
        <v>832</v>
      </c>
      <c r="B618" s="68">
        <v>806</v>
      </c>
      <c r="C618" s="57" t="s">
        <v>106</v>
      </c>
      <c r="D618" s="57" t="s">
        <v>106</v>
      </c>
      <c r="E618" s="57" t="s">
        <v>442</v>
      </c>
      <c r="F618" s="57" t="s">
        <v>831</v>
      </c>
      <c r="G618" s="91">
        <f>'прил.8'!G567</f>
        <v>3550.4</v>
      </c>
      <c r="H618" s="91">
        <f>'прил.8'!H567</f>
        <v>0</v>
      </c>
      <c r="I618" s="91">
        <f t="shared" si="59"/>
        <v>3550.4</v>
      </c>
      <c r="J618" s="91">
        <f>'прил.8'!J567</f>
        <v>0</v>
      </c>
      <c r="K618" s="91">
        <f t="shared" si="60"/>
        <v>3550.4</v>
      </c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</row>
    <row r="619" spans="1:23" ht="16.5">
      <c r="A619" s="121" t="s">
        <v>588</v>
      </c>
      <c r="B619" s="58"/>
      <c r="C619" s="57" t="s">
        <v>589</v>
      </c>
      <c r="D619" s="57"/>
      <c r="E619" s="57"/>
      <c r="F619" s="57"/>
      <c r="G619" s="91">
        <f>G638+G688+G694+G620+G624</f>
        <v>969009.1000000001</v>
      </c>
      <c r="H619" s="91">
        <f>H638+H688+H694+H620+H624</f>
        <v>-1394.6000000000004</v>
      </c>
      <c r="I619" s="91">
        <f t="shared" si="59"/>
        <v>967614.5000000001</v>
      </c>
      <c r="J619" s="91">
        <f>J638+J688+J694+J620+J624</f>
        <v>13436.300000000001</v>
      </c>
      <c r="K619" s="91">
        <f t="shared" si="60"/>
        <v>981050.8000000002</v>
      </c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</row>
    <row r="620" spans="1:23" ht="16.5">
      <c r="A620" s="121" t="s">
        <v>807</v>
      </c>
      <c r="B620" s="58"/>
      <c r="C620" s="57" t="s">
        <v>589</v>
      </c>
      <c r="D620" s="57" t="s">
        <v>24</v>
      </c>
      <c r="E620" s="57"/>
      <c r="F620" s="57"/>
      <c r="G620" s="91">
        <f aca="true" t="shared" si="64" ref="G620:J622">G621</f>
        <v>6423.6</v>
      </c>
      <c r="H620" s="91">
        <f t="shared" si="64"/>
        <v>0</v>
      </c>
      <c r="I620" s="91">
        <f t="shared" si="59"/>
        <v>6423.6</v>
      </c>
      <c r="J620" s="91">
        <f t="shared" si="64"/>
        <v>0</v>
      </c>
      <c r="K620" s="91">
        <f t="shared" si="60"/>
        <v>6423.6</v>
      </c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</row>
    <row r="621" spans="1:23" ht="19.5" customHeight="1">
      <c r="A621" s="123" t="s">
        <v>809</v>
      </c>
      <c r="B621" s="58"/>
      <c r="C621" s="57" t="s">
        <v>589</v>
      </c>
      <c r="D621" s="57" t="s">
        <v>24</v>
      </c>
      <c r="E621" s="57" t="s">
        <v>459</v>
      </c>
      <c r="F621" s="57"/>
      <c r="G621" s="91">
        <f t="shared" si="64"/>
        <v>6423.6</v>
      </c>
      <c r="H621" s="91">
        <f t="shared" si="64"/>
        <v>0</v>
      </c>
      <c r="I621" s="91">
        <f t="shared" si="59"/>
        <v>6423.6</v>
      </c>
      <c r="J621" s="91">
        <f t="shared" si="64"/>
        <v>0</v>
      </c>
      <c r="K621" s="91">
        <f t="shared" si="60"/>
        <v>6423.6</v>
      </c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</row>
    <row r="622" spans="1:23" ht="33">
      <c r="A622" s="123" t="s">
        <v>810</v>
      </c>
      <c r="B622" s="58"/>
      <c r="C622" s="57" t="s">
        <v>589</v>
      </c>
      <c r="D622" s="57" t="s">
        <v>24</v>
      </c>
      <c r="E622" s="57" t="s">
        <v>462</v>
      </c>
      <c r="F622" s="57"/>
      <c r="G622" s="91">
        <f t="shared" si="64"/>
        <v>6423.6</v>
      </c>
      <c r="H622" s="91">
        <f t="shared" si="64"/>
        <v>0</v>
      </c>
      <c r="I622" s="91">
        <f t="shared" si="59"/>
        <v>6423.6</v>
      </c>
      <c r="J622" s="91">
        <f t="shared" si="64"/>
        <v>0</v>
      </c>
      <c r="K622" s="91">
        <f t="shared" si="60"/>
        <v>6423.6</v>
      </c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</row>
    <row r="623" spans="1:23" ht="16.5">
      <c r="A623" s="127" t="s">
        <v>811</v>
      </c>
      <c r="B623" s="58"/>
      <c r="C623" s="57" t="s">
        <v>589</v>
      </c>
      <c r="D623" s="57" t="s">
        <v>24</v>
      </c>
      <c r="E623" s="57" t="s">
        <v>462</v>
      </c>
      <c r="F623" s="57" t="s">
        <v>117</v>
      </c>
      <c r="G623" s="91">
        <f>'прил.8'!G147</f>
        <v>6423.6</v>
      </c>
      <c r="H623" s="91">
        <f>'прил.8'!H147</f>
        <v>0</v>
      </c>
      <c r="I623" s="91">
        <f t="shared" si="59"/>
        <v>6423.6</v>
      </c>
      <c r="J623" s="91">
        <f>'прил.8'!J147</f>
        <v>0</v>
      </c>
      <c r="K623" s="91">
        <f t="shared" si="60"/>
        <v>6423.6</v>
      </c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</row>
    <row r="624" spans="1:23" ht="16.5">
      <c r="A624" s="129" t="s">
        <v>254</v>
      </c>
      <c r="B624" s="58"/>
      <c r="C624" s="67" t="s">
        <v>589</v>
      </c>
      <c r="D624" s="67" t="s">
        <v>25</v>
      </c>
      <c r="E624" s="67"/>
      <c r="F624" s="67"/>
      <c r="G624" s="91">
        <f>G630+G635</f>
        <v>87027.4</v>
      </c>
      <c r="H624" s="91">
        <f>H630+H635</f>
        <v>1445.5</v>
      </c>
      <c r="I624" s="91">
        <f t="shared" si="59"/>
        <v>88472.9</v>
      </c>
      <c r="J624" s="91">
        <f>J630+J635+J625</f>
        <v>2550</v>
      </c>
      <c r="K624" s="91">
        <f t="shared" si="60"/>
        <v>91022.9</v>
      </c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</row>
    <row r="625" spans="1:23" ht="16.5">
      <c r="A625" s="124" t="s">
        <v>439</v>
      </c>
      <c r="B625" s="78">
        <v>810</v>
      </c>
      <c r="C625" s="67" t="s">
        <v>589</v>
      </c>
      <c r="D625" s="67" t="s">
        <v>25</v>
      </c>
      <c r="E625" s="67" t="s">
        <v>471</v>
      </c>
      <c r="F625" s="67"/>
      <c r="G625" s="91"/>
      <c r="H625" s="91"/>
      <c r="I625" s="91"/>
      <c r="J625" s="91">
        <f>J628+J626</f>
        <v>3023.9</v>
      </c>
      <c r="K625" s="91">
        <f t="shared" si="60"/>
        <v>3023.9</v>
      </c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</row>
    <row r="626" spans="1:23" ht="49.5">
      <c r="A626" s="124" t="s">
        <v>748</v>
      </c>
      <c r="B626" s="78"/>
      <c r="C626" s="67" t="s">
        <v>589</v>
      </c>
      <c r="D626" s="67" t="s">
        <v>25</v>
      </c>
      <c r="E626" s="67" t="s">
        <v>747</v>
      </c>
      <c r="F626" s="67"/>
      <c r="G626" s="91"/>
      <c r="H626" s="91"/>
      <c r="I626" s="91"/>
      <c r="J626" s="91">
        <f>J627</f>
        <v>2550</v>
      </c>
      <c r="K626" s="91">
        <f t="shared" si="60"/>
        <v>2550</v>
      </c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ht="16.5">
      <c r="A627" s="124" t="s">
        <v>63</v>
      </c>
      <c r="B627" s="78"/>
      <c r="C627" s="67" t="s">
        <v>589</v>
      </c>
      <c r="D627" s="67" t="s">
        <v>25</v>
      </c>
      <c r="E627" s="67" t="s">
        <v>747</v>
      </c>
      <c r="F627" s="67" t="s">
        <v>660</v>
      </c>
      <c r="G627" s="91"/>
      <c r="H627" s="91"/>
      <c r="I627" s="91"/>
      <c r="J627" s="91">
        <f>'прил.8'!J828</f>
        <v>2550</v>
      </c>
      <c r="K627" s="91">
        <f t="shared" si="60"/>
        <v>2550</v>
      </c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ht="33">
      <c r="A628" s="129" t="s">
        <v>745</v>
      </c>
      <c r="B628" s="78">
        <v>810</v>
      </c>
      <c r="C628" s="67" t="s">
        <v>589</v>
      </c>
      <c r="D628" s="67" t="s">
        <v>25</v>
      </c>
      <c r="E628" s="67" t="s">
        <v>746</v>
      </c>
      <c r="F628" s="67"/>
      <c r="G628" s="91"/>
      <c r="H628" s="91"/>
      <c r="I628" s="91"/>
      <c r="J628" s="91">
        <f>J629</f>
        <v>473.9</v>
      </c>
      <c r="K628" s="91">
        <f t="shared" si="60"/>
        <v>473.9</v>
      </c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1:23" ht="16.5">
      <c r="A629" s="124" t="s">
        <v>63</v>
      </c>
      <c r="B629" s="78">
        <v>810</v>
      </c>
      <c r="C629" s="67" t="s">
        <v>589</v>
      </c>
      <c r="D629" s="67" t="s">
        <v>25</v>
      </c>
      <c r="E629" s="67" t="s">
        <v>746</v>
      </c>
      <c r="F629" s="67" t="s">
        <v>660</v>
      </c>
      <c r="G629" s="91"/>
      <c r="H629" s="91"/>
      <c r="I629" s="91"/>
      <c r="J629" s="91">
        <f>'прил.8'!J830</f>
        <v>473.9</v>
      </c>
      <c r="K629" s="91">
        <f t="shared" si="60"/>
        <v>473.9</v>
      </c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</row>
    <row r="630" spans="1:23" ht="16.5">
      <c r="A630" s="129" t="s">
        <v>354</v>
      </c>
      <c r="B630" s="58"/>
      <c r="C630" s="67" t="s">
        <v>589</v>
      </c>
      <c r="D630" s="67" t="s">
        <v>25</v>
      </c>
      <c r="E630" s="67" t="s">
        <v>245</v>
      </c>
      <c r="F630" s="67"/>
      <c r="G630" s="91">
        <f>G631+G633</f>
        <v>2560</v>
      </c>
      <c r="H630" s="91">
        <f>H631+H633</f>
        <v>0</v>
      </c>
      <c r="I630" s="91">
        <f t="shared" si="59"/>
        <v>2560</v>
      </c>
      <c r="J630" s="91">
        <f>J631+J633</f>
        <v>-473.9</v>
      </c>
      <c r="K630" s="91">
        <f t="shared" si="60"/>
        <v>2086.1</v>
      </c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</row>
    <row r="631" spans="1:23" ht="36.75" customHeight="1">
      <c r="A631" s="129" t="s">
        <v>355</v>
      </c>
      <c r="B631" s="58"/>
      <c r="C631" s="67" t="s">
        <v>589</v>
      </c>
      <c r="D631" s="67" t="s">
        <v>25</v>
      </c>
      <c r="E631" s="67" t="s">
        <v>243</v>
      </c>
      <c r="F631" s="67"/>
      <c r="G631" s="91">
        <f>G632</f>
        <v>1500</v>
      </c>
      <c r="H631" s="91">
        <f>H632</f>
        <v>0</v>
      </c>
      <c r="I631" s="91">
        <f t="shared" si="59"/>
        <v>1500</v>
      </c>
      <c r="J631" s="91">
        <f>J632</f>
        <v>-473.9</v>
      </c>
      <c r="K631" s="91">
        <f t="shared" si="60"/>
        <v>1026.1</v>
      </c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</row>
    <row r="632" spans="1:23" ht="16.5">
      <c r="A632" s="124" t="s">
        <v>63</v>
      </c>
      <c r="B632" s="58"/>
      <c r="C632" s="67" t="s">
        <v>589</v>
      </c>
      <c r="D632" s="67" t="s">
        <v>25</v>
      </c>
      <c r="E632" s="67" t="s">
        <v>243</v>
      </c>
      <c r="F632" s="67" t="s">
        <v>660</v>
      </c>
      <c r="G632" s="91">
        <f>'прил.8'!G833</f>
        <v>1500</v>
      </c>
      <c r="H632" s="91">
        <f>'прил.8'!H833</f>
        <v>0</v>
      </c>
      <c r="I632" s="91">
        <f t="shared" si="59"/>
        <v>1500</v>
      </c>
      <c r="J632" s="91">
        <f>'прил.8'!J833</f>
        <v>-473.9</v>
      </c>
      <c r="K632" s="91">
        <f t="shared" si="60"/>
        <v>1026.1</v>
      </c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</row>
    <row r="633" spans="1:23" ht="76.5" customHeight="1">
      <c r="A633" s="124" t="s">
        <v>357</v>
      </c>
      <c r="B633" s="58"/>
      <c r="C633" s="67" t="s">
        <v>589</v>
      </c>
      <c r="D633" s="67" t="s">
        <v>25</v>
      </c>
      <c r="E633" s="67" t="s">
        <v>356</v>
      </c>
      <c r="F633" s="67"/>
      <c r="G633" s="91">
        <f>G634</f>
        <v>1060</v>
      </c>
      <c r="H633" s="91">
        <f>H634</f>
        <v>0</v>
      </c>
      <c r="I633" s="91">
        <f t="shared" si="59"/>
        <v>1060</v>
      </c>
      <c r="J633" s="91">
        <f>J634</f>
        <v>0</v>
      </c>
      <c r="K633" s="91">
        <f t="shared" si="60"/>
        <v>1060</v>
      </c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</row>
    <row r="634" spans="1:23" ht="16.5">
      <c r="A634" s="124" t="s">
        <v>63</v>
      </c>
      <c r="B634" s="58"/>
      <c r="C634" s="67" t="s">
        <v>589</v>
      </c>
      <c r="D634" s="67" t="s">
        <v>25</v>
      </c>
      <c r="E634" s="67" t="s">
        <v>356</v>
      </c>
      <c r="F634" s="67" t="s">
        <v>660</v>
      </c>
      <c r="G634" s="91">
        <f>'прил.8'!G835</f>
        <v>1060</v>
      </c>
      <c r="H634" s="91">
        <f>'прил.8'!H835</f>
        <v>0</v>
      </c>
      <c r="I634" s="91">
        <f t="shared" si="59"/>
        <v>1060</v>
      </c>
      <c r="J634" s="91">
        <f>'прил.8'!J835</f>
        <v>0</v>
      </c>
      <c r="K634" s="91">
        <f t="shared" si="60"/>
        <v>1060</v>
      </c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</row>
    <row r="635" spans="1:23" ht="16.5">
      <c r="A635" s="136" t="s">
        <v>79</v>
      </c>
      <c r="B635" s="58"/>
      <c r="C635" s="67" t="s">
        <v>589</v>
      </c>
      <c r="D635" s="67" t="s">
        <v>25</v>
      </c>
      <c r="E635" s="67" t="s">
        <v>80</v>
      </c>
      <c r="F635" s="67"/>
      <c r="G635" s="91">
        <f aca="true" t="shared" si="65" ref="G635:J636">G636</f>
        <v>84467.4</v>
      </c>
      <c r="H635" s="91">
        <f t="shared" si="65"/>
        <v>1445.5</v>
      </c>
      <c r="I635" s="91">
        <f t="shared" si="59"/>
        <v>85912.9</v>
      </c>
      <c r="J635" s="91">
        <f t="shared" si="65"/>
        <v>0</v>
      </c>
      <c r="K635" s="91">
        <f t="shared" si="60"/>
        <v>85912.9</v>
      </c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</row>
    <row r="636" spans="1:23" ht="120.75" customHeight="1">
      <c r="A636" s="136" t="s">
        <v>152</v>
      </c>
      <c r="B636" s="58"/>
      <c r="C636" s="67" t="s">
        <v>589</v>
      </c>
      <c r="D636" s="67" t="s">
        <v>25</v>
      </c>
      <c r="E636" s="67" t="s">
        <v>78</v>
      </c>
      <c r="F636" s="67"/>
      <c r="G636" s="91">
        <f t="shared" si="65"/>
        <v>84467.4</v>
      </c>
      <c r="H636" s="91">
        <f t="shared" si="65"/>
        <v>1445.5</v>
      </c>
      <c r="I636" s="91">
        <f t="shared" si="59"/>
        <v>85912.9</v>
      </c>
      <c r="J636" s="91">
        <f t="shared" si="65"/>
        <v>0</v>
      </c>
      <c r="K636" s="91">
        <f t="shared" si="60"/>
        <v>85912.9</v>
      </c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</row>
    <row r="637" spans="1:23" ht="16.5">
      <c r="A637" s="124" t="s">
        <v>63</v>
      </c>
      <c r="B637" s="58"/>
      <c r="C637" s="67" t="s">
        <v>589</v>
      </c>
      <c r="D637" s="67" t="s">
        <v>25</v>
      </c>
      <c r="E637" s="67" t="s">
        <v>78</v>
      </c>
      <c r="F637" s="67" t="s">
        <v>660</v>
      </c>
      <c r="G637" s="91">
        <f>'прил.8'!G838</f>
        <v>84467.4</v>
      </c>
      <c r="H637" s="91">
        <f>'прил.8'!H838</f>
        <v>1445.5</v>
      </c>
      <c r="I637" s="91">
        <f t="shared" si="59"/>
        <v>85912.9</v>
      </c>
      <c r="J637" s="91">
        <f>'прил.8'!J838</f>
        <v>0</v>
      </c>
      <c r="K637" s="91">
        <f t="shared" si="60"/>
        <v>85912.9</v>
      </c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</row>
    <row r="638" spans="1:23" ht="16.5">
      <c r="A638" s="121" t="s">
        <v>463</v>
      </c>
      <c r="B638" s="68">
        <v>810</v>
      </c>
      <c r="C638" s="57" t="s">
        <v>589</v>
      </c>
      <c r="D638" s="57" t="s">
        <v>26</v>
      </c>
      <c r="E638" s="57"/>
      <c r="F638" s="57"/>
      <c r="G638" s="91">
        <f>G645+G658+G669+G674</f>
        <v>735112.4</v>
      </c>
      <c r="H638" s="91">
        <f>H645+H658+H669+H674+H642</f>
        <v>919.7</v>
      </c>
      <c r="I638" s="91">
        <f aca="true" t="shared" si="66" ref="I638:I704">G638+H638</f>
        <v>736032.1</v>
      </c>
      <c r="J638" s="91">
        <f>J645+J658+J669+J674+J642+J684</f>
        <v>9644</v>
      </c>
      <c r="K638" s="91">
        <f aca="true" t="shared" si="67" ref="K638:K704">I638+J638</f>
        <v>745676.1</v>
      </c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</row>
    <row r="639" spans="1:23" ht="18.75" customHeight="1" hidden="1">
      <c r="A639" s="123" t="s">
        <v>665</v>
      </c>
      <c r="B639" s="68"/>
      <c r="C639" s="57" t="s">
        <v>589</v>
      </c>
      <c r="D639" s="57" t="s">
        <v>26</v>
      </c>
      <c r="E639" s="57" t="s">
        <v>464</v>
      </c>
      <c r="F639" s="57"/>
      <c r="G639" s="91" t="e">
        <f aca="true" t="shared" si="68" ref="G639:J640">G640</f>
        <v>#REF!</v>
      </c>
      <c r="H639" s="91" t="e">
        <f t="shared" si="68"/>
        <v>#REF!</v>
      </c>
      <c r="I639" s="91" t="e">
        <f t="shared" si="66"/>
        <v>#REF!</v>
      </c>
      <c r="J639" s="91" t="e">
        <f t="shared" si="68"/>
        <v>#REF!</v>
      </c>
      <c r="K639" s="91" t="e">
        <f t="shared" si="67"/>
        <v>#REF!</v>
      </c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</row>
    <row r="640" spans="1:23" ht="16.5" hidden="1">
      <c r="A640" s="142" t="s">
        <v>465</v>
      </c>
      <c r="B640" s="68"/>
      <c r="C640" s="57" t="s">
        <v>589</v>
      </c>
      <c r="D640" s="57" t="s">
        <v>26</v>
      </c>
      <c r="E640" s="57" t="s">
        <v>466</v>
      </c>
      <c r="F640" s="57"/>
      <c r="G640" s="91" t="e">
        <f t="shared" si="68"/>
        <v>#REF!</v>
      </c>
      <c r="H640" s="91" t="e">
        <f t="shared" si="68"/>
        <v>#REF!</v>
      </c>
      <c r="I640" s="91" t="e">
        <f t="shared" si="66"/>
        <v>#REF!</v>
      </c>
      <c r="J640" s="91" t="e">
        <f t="shared" si="68"/>
        <v>#REF!</v>
      </c>
      <c r="K640" s="91" t="e">
        <f t="shared" si="67"/>
        <v>#REF!</v>
      </c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</row>
    <row r="641" spans="1:23" ht="16.5" hidden="1">
      <c r="A641" s="121" t="s">
        <v>467</v>
      </c>
      <c r="B641" s="68"/>
      <c r="C641" s="57" t="s">
        <v>589</v>
      </c>
      <c r="D641" s="57" t="s">
        <v>26</v>
      </c>
      <c r="E641" s="57" t="s">
        <v>466</v>
      </c>
      <c r="F641" s="57" t="s">
        <v>46</v>
      </c>
      <c r="G641" s="91" t="e">
        <f>'прил.8'!#REF!</f>
        <v>#REF!</v>
      </c>
      <c r="H641" s="91" t="e">
        <f>'прил.8'!#REF!</f>
        <v>#REF!</v>
      </c>
      <c r="I641" s="91" t="e">
        <f t="shared" si="66"/>
        <v>#REF!</v>
      </c>
      <c r="J641" s="91" t="e">
        <f>'прил.8'!#REF!</f>
        <v>#REF!</v>
      </c>
      <c r="K641" s="91" t="e">
        <f t="shared" si="67"/>
        <v>#REF!</v>
      </c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</row>
    <row r="642" spans="1:23" ht="16.5">
      <c r="A642" s="134" t="s">
        <v>699</v>
      </c>
      <c r="B642" s="68"/>
      <c r="C642" s="57" t="s">
        <v>589</v>
      </c>
      <c r="D642" s="57" t="s">
        <v>26</v>
      </c>
      <c r="E642" s="6" t="s">
        <v>464</v>
      </c>
      <c r="F642" s="6"/>
      <c r="G642" s="91"/>
      <c r="H642" s="91">
        <f>H643</f>
        <v>299.8</v>
      </c>
      <c r="I642" s="91">
        <f t="shared" si="66"/>
        <v>299.8</v>
      </c>
      <c r="J642" s="91">
        <f>J643</f>
        <v>0</v>
      </c>
      <c r="K642" s="91">
        <f t="shared" si="67"/>
        <v>299.8</v>
      </c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</row>
    <row r="643" spans="1:23" ht="16.5">
      <c r="A643" s="143" t="s">
        <v>700</v>
      </c>
      <c r="B643" s="68"/>
      <c r="C643" s="57" t="s">
        <v>589</v>
      </c>
      <c r="D643" s="57" t="s">
        <v>26</v>
      </c>
      <c r="E643" s="6" t="s">
        <v>466</v>
      </c>
      <c r="F643" s="6"/>
      <c r="G643" s="91"/>
      <c r="H643" s="91">
        <f>H644</f>
        <v>299.8</v>
      </c>
      <c r="I643" s="91">
        <f t="shared" si="66"/>
        <v>299.8</v>
      </c>
      <c r="J643" s="91">
        <f>J644</f>
        <v>0</v>
      </c>
      <c r="K643" s="91">
        <f t="shared" si="67"/>
        <v>299.8</v>
      </c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</row>
    <row r="644" spans="1:23" ht="16.5">
      <c r="A644" s="73" t="s">
        <v>467</v>
      </c>
      <c r="B644" s="68"/>
      <c r="C644" s="57" t="s">
        <v>589</v>
      </c>
      <c r="D644" s="57" t="s">
        <v>26</v>
      </c>
      <c r="E644" s="6" t="s">
        <v>466</v>
      </c>
      <c r="F644" s="6" t="s">
        <v>46</v>
      </c>
      <c r="G644" s="91"/>
      <c r="H644" s="91">
        <f>'прил.8'!H151</f>
        <v>299.8</v>
      </c>
      <c r="I644" s="91">
        <f t="shared" si="66"/>
        <v>299.8</v>
      </c>
      <c r="J644" s="91">
        <f>'прил.8'!J151</f>
        <v>0</v>
      </c>
      <c r="K644" s="91">
        <f t="shared" si="67"/>
        <v>299.8</v>
      </c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</row>
    <row r="645" spans="1:23" s="22" customFormat="1" ht="16.5">
      <c r="A645" s="121" t="s">
        <v>815</v>
      </c>
      <c r="B645" s="68">
        <v>810</v>
      </c>
      <c r="C645" s="57" t="s">
        <v>589</v>
      </c>
      <c r="D645" s="57" t="s">
        <v>26</v>
      </c>
      <c r="E645" s="57" t="s">
        <v>468</v>
      </c>
      <c r="F645" s="57"/>
      <c r="G645" s="91">
        <f>G646+G651+G653+G655</f>
        <v>211233.6</v>
      </c>
      <c r="H645" s="91">
        <f>H646+H651+H653+H655</f>
        <v>0</v>
      </c>
      <c r="I645" s="91">
        <f t="shared" si="66"/>
        <v>211233.6</v>
      </c>
      <c r="J645" s="91">
        <f>J646+J651+J653+J655</f>
        <v>7659.8</v>
      </c>
      <c r="K645" s="91">
        <f t="shared" si="67"/>
        <v>218893.4</v>
      </c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</row>
    <row r="646" spans="1:23" s="23" customFormat="1" ht="136.5" customHeight="1">
      <c r="A646" s="120" t="s">
        <v>692</v>
      </c>
      <c r="B646" s="68">
        <v>801</v>
      </c>
      <c r="C646" s="57" t="s">
        <v>589</v>
      </c>
      <c r="D646" s="57" t="s">
        <v>26</v>
      </c>
      <c r="E646" s="57" t="s">
        <v>469</v>
      </c>
      <c r="F646" s="57"/>
      <c r="G646" s="91">
        <f>G648+G650</f>
        <v>12333.6</v>
      </c>
      <c r="H646" s="91">
        <f>H648+H650</f>
        <v>0</v>
      </c>
      <c r="I646" s="91">
        <f t="shared" si="66"/>
        <v>12333.6</v>
      </c>
      <c r="J646" s="91">
        <f>J648+J650</f>
        <v>7194.6</v>
      </c>
      <c r="K646" s="91">
        <f t="shared" si="67"/>
        <v>19528.2</v>
      </c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</row>
    <row r="647" spans="1:11" s="13" customFormat="1" ht="88.5" customHeight="1">
      <c r="A647" s="130" t="s">
        <v>153</v>
      </c>
      <c r="B647" s="68"/>
      <c r="C647" s="57" t="s">
        <v>589</v>
      </c>
      <c r="D647" s="57" t="s">
        <v>26</v>
      </c>
      <c r="E647" s="57" t="s">
        <v>122</v>
      </c>
      <c r="F647" s="57"/>
      <c r="G647" s="91">
        <f>G648</f>
        <v>0</v>
      </c>
      <c r="H647" s="91">
        <f>H648</f>
        <v>0</v>
      </c>
      <c r="I647" s="91">
        <f t="shared" si="66"/>
        <v>0</v>
      </c>
      <c r="J647" s="91">
        <f>J648</f>
        <v>7194.6</v>
      </c>
      <c r="K647" s="91">
        <f t="shared" si="67"/>
        <v>7194.6</v>
      </c>
    </row>
    <row r="648" spans="1:11" s="13" customFormat="1" ht="18" customHeight="1">
      <c r="A648" s="121" t="s">
        <v>656</v>
      </c>
      <c r="B648" s="68"/>
      <c r="C648" s="57" t="s">
        <v>589</v>
      </c>
      <c r="D648" s="57" t="s">
        <v>26</v>
      </c>
      <c r="E648" s="57" t="s">
        <v>122</v>
      </c>
      <c r="F648" s="57" t="s">
        <v>117</v>
      </c>
      <c r="G648" s="91">
        <f>'прил.8'!G155</f>
        <v>0</v>
      </c>
      <c r="H648" s="91">
        <f>'прил.8'!H155</f>
        <v>0</v>
      </c>
      <c r="I648" s="91">
        <f t="shared" si="66"/>
        <v>0</v>
      </c>
      <c r="J648" s="91">
        <f>'прил.8'!J155</f>
        <v>7194.6</v>
      </c>
      <c r="K648" s="91">
        <f t="shared" si="67"/>
        <v>7194.6</v>
      </c>
    </row>
    <row r="649" spans="1:11" s="13" customFormat="1" ht="67.5" customHeight="1">
      <c r="A649" s="120" t="s">
        <v>171</v>
      </c>
      <c r="B649" s="68"/>
      <c r="C649" s="57" t="s">
        <v>589</v>
      </c>
      <c r="D649" s="57" t="s">
        <v>26</v>
      </c>
      <c r="E649" s="57" t="s">
        <v>636</v>
      </c>
      <c r="F649" s="57"/>
      <c r="G649" s="91">
        <f>G650</f>
        <v>12333.6</v>
      </c>
      <c r="H649" s="91">
        <f>H650</f>
        <v>0</v>
      </c>
      <c r="I649" s="91">
        <f t="shared" si="66"/>
        <v>12333.6</v>
      </c>
      <c r="J649" s="91">
        <f>J650</f>
        <v>0</v>
      </c>
      <c r="K649" s="91">
        <f t="shared" si="67"/>
        <v>12333.6</v>
      </c>
    </row>
    <row r="650" spans="1:23" ht="16.5">
      <c r="A650" s="121" t="s">
        <v>656</v>
      </c>
      <c r="B650" s="68">
        <v>801</v>
      </c>
      <c r="C650" s="57" t="s">
        <v>589</v>
      </c>
      <c r="D650" s="57" t="s">
        <v>26</v>
      </c>
      <c r="E650" s="57" t="s">
        <v>636</v>
      </c>
      <c r="F650" s="57" t="s">
        <v>117</v>
      </c>
      <c r="G650" s="91">
        <f>'прил.8'!G157</f>
        <v>12333.6</v>
      </c>
      <c r="H650" s="91">
        <f>'прил.8'!H157</f>
        <v>0</v>
      </c>
      <c r="I650" s="91">
        <f t="shared" si="66"/>
        <v>12333.6</v>
      </c>
      <c r="J650" s="91">
        <f>'прил.8'!J157</f>
        <v>0</v>
      </c>
      <c r="K650" s="91">
        <f t="shared" si="67"/>
        <v>12333.6</v>
      </c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</row>
    <row r="651" spans="1:11" s="13" customFormat="1" ht="33.75" customHeight="1">
      <c r="A651" s="127" t="s">
        <v>172</v>
      </c>
      <c r="B651" s="68"/>
      <c r="C651" s="57" t="s">
        <v>589</v>
      </c>
      <c r="D651" s="57" t="s">
        <v>26</v>
      </c>
      <c r="E651" s="57" t="s">
        <v>283</v>
      </c>
      <c r="F651" s="57"/>
      <c r="G651" s="91">
        <f>G652</f>
        <v>151476.5</v>
      </c>
      <c r="H651" s="91">
        <f>H652</f>
        <v>0</v>
      </c>
      <c r="I651" s="91">
        <f t="shared" si="66"/>
        <v>151476.5</v>
      </c>
      <c r="J651" s="91">
        <f>J652</f>
        <v>465.2</v>
      </c>
      <c r="K651" s="91">
        <f t="shared" si="67"/>
        <v>151941.7</v>
      </c>
    </row>
    <row r="652" spans="1:11" s="13" customFormat="1" ht="17.25" customHeight="1">
      <c r="A652" s="127" t="s">
        <v>811</v>
      </c>
      <c r="B652" s="68"/>
      <c r="C652" s="57" t="s">
        <v>589</v>
      </c>
      <c r="D652" s="57" t="s">
        <v>26</v>
      </c>
      <c r="E652" s="57" t="s">
        <v>146</v>
      </c>
      <c r="F652" s="57" t="s">
        <v>117</v>
      </c>
      <c r="G652" s="91">
        <f>'прил.8'!G842</f>
        <v>151476.5</v>
      </c>
      <c r="H652" s="91">
        <f>'прил.8'!H842</f>
        <v>0</v>
      </c>
      <c r="I652" s="91">
        <f t="shared" si="66"/>
        <v>151476.5</v>
      </c>
      <c r="J652" s="91">
        <f>'прил.8'!J842</f>
        <v>465.2</v>
      </c>
      <c r="K652" s="91">
        <f t="shared" si="67"/>
        <v>151941.7</v>
      </c>
    </row>
    <row r="653" spans="1:23" ht="36" customHeight="1">
      <c r="A653" s="135" t="s">
        <v>710</v>
      </c>
      <c r="B653" s="68">
        <v>810</v>
      </c>
      <c r="C653" s="57" t="s">
        <v>589</v>
      </c>
      <c r="D653" s="57" t="s">
        <v>26</v>
      </c>
      <c r="E653" s="57" t="s">
        <v>364</v>
      </c>
      <c r="F653" s="57"/>
      <c r="G653" s="91">
        <f>G654</f>
        <v>44747.200000000004</v>
      </c>
      <c r="H653" s="91">
        <f>H654</f>
        <v>0</v>
      </c>
      <c r="I653" s="91">
        <f t="shared" si="66"/>
        <v>44747.200000000004</v>
      </c>
      <c r="J653" s="91">
        <f>J654</f>
        <v>0</v>
      </c>
      <c r="K653" s="91">
        <f t="shared" si="67"/>
        <v>44747.200000000004</v>
      </c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</row>
    <row r="654" spans="1:23" ht="21" customHeight="1">
      <c r="A654" s="127" t="s">
        <v>811</v>
      </c>
      <c r="B654" s="68">
        <v>810</v>
      </c>
      <c r="C654" s="57" t="s">
        <v>589</v>
      </c>
      <c r="D654" s="57" t="s">
        <v>26</v>
      </c>
      <c r="E654" s="57" t="s">
        <v>364</v>
      </c>
      <c r="F654" s="57" t="s">
        <v>117</v>
      </c>
      <c r="G654" s="91">
        <f>'прил.8'!G844</f>
        <v>44747.200000000004</v>
      </c>
      <c r="H654" s="91">
        <f>'прил.8'!H844</f>
        <v>0</v>
      </c>
      <c r="I654" s="91">
        <f t="shared" si="66"/>
        <v>44747.200000000004</v>
      </c>
      <c r="J654" s="91">
        <f>'прил.8'!J844</f>
        <v>0</v>
      </c>
      <c r="K654" s="91">
        <f t="shared" si="67"/>
        <v>44747.200000000004</v>
      </c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</row>
    <row r="655" spans="1:23" ht="18.75" customHeight="1">
      <c r="A655" s="135" t="s">
        <v>359</v>
      </c>
      <c r="B655" s="68"/>
      <c r="C655" s="67" t="s">
        <v>589</v>
      </c>
      <c r="D655" s="67" t="s">
        <v>26</v>
      </c>
      <c r="E655" s="67" t="s">
        <v>360</v>
      </c>
      <c r="F655" s="67"/>
      <c r="G655" s="91">
        <f aca="true" t="shared" si="69" ref="G655:J656">G656</f>
        <v>2676.3</v>
      </c>
      <c r="H655" s="91">
        <f t="shared" si="69"/>
        <v>0</v>
      </c>
      <c r="I655" s="91">
        <f t="shared" si="66"/>
        <v>2676.3</v>
      </c>
      <c r="J655" s="91">
        <f t="shared" si="69"/>
        <v>0</v>
      </c>
      <c r="K655" s="91">
        <f t="shared" si="67"/>
        <v>2676.3</v>
      </c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</row>
    <row r="656" spans="1:23" ht="33.75" customHeight="1">
      <c r="A656" s="135" t="s">
        <v>124</v>
      </c>
      <c r="B656" s="68"/>
      <c r="C656" s="67" t="s">
        <v>589</v>
      </c>
      <c r="D656" s="67" t="s">
        <v>26</v>
      </c>
      <c r="E656" s="67" t="s">
        <v>358</v>
      </c>
      <c r="F656" s="67"/>
      <c r="G656" s="91">
        <f t="shared" si="69"/>
        <v>2676.3</v>
      </c>
      <c r="H656" s="91">
        <f t="shared" si="69"/>
        <v>0</v>
      </c>
      <c r="I656" s="91">
        <f t="shared" si="66"/>
        <v>2676.3</v>
      </c>
      <c r="J656" s="91">
        <f t="shared" si="69"/>
        <v>0</v>
      </c>
      <c r="K656" s="91">
        <f t="shared" si="67"/>
        <v>2676.3</v>
      </c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</row>
    <row r="657" spans="1:23" ht="18.75" customHeight="1">
      <c r="A657" s="135" t="s">
        <v>635</v>
      </c>
      <c r="B657" s="68"/>
      <c r="C657" s="67" t="s">
        <v>589</v>
      </c>
      <c r="D657" s="67" t="s">
        <v>26</v>
      </c>
      <c r="E657" s="67" t="s">
        <v>358</v>
      </c>
      <c r="F657" s="67" t="s">
        <v>117</v>
      </c>
      <c r="G657" s="91">
        <f>'прил.8'!G847</f>
        <v>2676.3</v>
      </c>
      <c r="H657" s="91">
        <f>'прил.8'!H847</f>
        <v>0</v>
      </c>
      <c r="I657" s="91">
        <f t="shared" si="66"/>
        <v>2676.3</v>
      </c>
      <c r="J657" s="91">
        <f>'прил.8'!J847</f>
        <v>0</v>
      </c>
      <c r="K657" s="91">
        <f t="shared" si="67"/>
        <v>2676.3</v>
      </c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</row>
    <row r="658" spans="1:23" ht="19.5" customHeight="1">
      <c r="A658" s="127" t="s">
        <v>511</v>
      </c>
      <c r="B658" s="68">
        <v>810</v>
      </c>
      <c r="C658" s="57" t="s">
        <v>589</v>
      </c>
      <c r="D658" s="57" t="s">
        <v>26</v>
      </c>
      <c r="E658" s="57" t="s">
        <v>535</v>
      </c>
      <c r="F658" s="57"/>
      <c r="G658" s="91">
        <f>G659+G662</f>
        <v>7457</v>
      </c>
      <c r="H658" s="91">
        <f>H659+H662</f>
        <v>500</v>
      </c>
      <c r="I658" s="91">
        <f t="shared" si="66"/>
        <v>7957</v>
      </c>
      <c r="J658" s="91">
        <f>J659+J662</f>
        <v>0</v>
      </c>
      <c r="K658" s="91">
        <f t="shared" si="67"/>
        <v>7957</v>
      </c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</row>
    <row r="659" spans="1:23" ht="20.25" customHeight="1">
      <c r="A659" s="121" t="s">
        <v>259</v>
      </c>
      <c r="B659" s="68">
        <v>810</v>
      </c>
      <c r="C659" s="57" t="s">
        <v>589</v>
      </c>
      <c r="D659" s="57" t="s">
        <v>26</v>
      </c>
      <c r="E659" s="57" t="s">
        <v>536</v>
      </c>
      <c r="F659" s="57"/>
      <c r="G659" s="91">
        <f>G660</f>
        <v>6518.2</v>
      </c>
      <c r="H659" s="91">
        <f>H660</f>
        <v>0</v>
      </c>
      <c r="I659" s="91">
        <f t="shared" si="66"/>
        <v>6518.2</v>
      </c>
      <c r="J659" s="91">
        <f>J660</f>
        <v>0</v>
      </c>
      <c r="K659" s="91">
        <f t="shared" si="67"/>
        <v>6518.2</v>
      </c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</row>
    <row r="660" spans="1:23" ht="20.25" customHeight="1">
      <c r="A660" s="121" t="s">
        <v>30</v>
      </c>
      <c r="B660" s="68">
        <v>810</v>
      </c>
      <c r="C660" s="57" t="s">
        <v>589</v>
      </c>
      <c r="D660" s="57" t="s">
        <v>26</v>
      </c>
      <c r="E660" s="57" t="s">
        <v>29</v>
      </c>
      <c r="F660" s="57"/>
      <c r="G660" s="91">
        <f>SUM(G661)</f>
        <v>6518.2</v>
      </c>
      <c r="H660" s="91">
        <f>SUM(H661)</f>
        <v>0</v>
      </c>
      <c r="I660" s="91">
        <f t="shared" si="66"/>
        <v>6518.2</v>
      </c>
      <c r="J660" s="91">
        <f>SUM(J661)</f>
        <v>0</v>
      </c>
      <c r="K660" s="91">
        <f t="shared" si="67"/>
        <v>6518.2</v>
      </c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1:23" ht="21.75" customHeight="1">
      <c r="A661" s="127" t="s">
        <v>534</v>
      </c>
      <c r="B661" s="68">
        <v>810</v>
      </c>
      <c r="C661" s="57" t="s">
        <v>589</v>
      </c>
      <c r="D661" s="57" t="s">
        <v>26</v>
      </c>
      <c r="E661" s="57" t="s">
        <v>29</v>
      </c>
      <c r="F661" s="57" t="s">
        <v>104</v>
      </c>
      <c r="G661" s="91">
        <f>'прил.8'!G851+'прил.8'!G284</f>
        <v>6518.2</v>
      </c>
      <c r="H661" s="91">
        <f>'прил.8'!H851+'прил.8'!H284</f>
        <v>0</v>
      </c>
      <c r="I661" s="91">
        <f t="shared" si="66"/>
        <v>6518.2</v>
      </c>
      <c r="J661" s="91">
        <f>'прил.8'!J851+'прил.8'!J284</f>
        <v>0</v>
      </c>
      <c r="K661" s="91">
        <f t="shared" si="67"/>
        <v>6518.2</v>
      </c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1:23" ht="21.75" customHeight="1">
      <c r="A662" s="127" t="s">
        <v>521</v>
      </c>
      <c r="B662" s="68"/>
      <c r="C662" s="57" t="s">
        <v>589</v>
      </c>
      <c r="D662" s="57" t="s">
        <v>26</v>
      </c>
      <c r="E662" s="57" t="s">
        <v>50</v>
      </c>
      <c r="F662" s="57"/>
      <c r="G662" s="91">
        <f>G663+G665</f>
        <v>938.8</v>
      </c>
      <c r="H662" s="91">
        <f>H663+H665+H667</f>
        <v>500</v>
      </c>
      <c r="I662" s="91">
        <f t="shared" si="66"/>
        <v>1438.8</v>
      </c>
      <c r="J662" s="91">
        <f>J663+J665+J667</f>
        <v>0</v>
      </c>
      <c r="K662" s="91">
        <f t="shared" si="67"/>
        <v>1438.8</v>
      </c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1:23" ht="34.5" customHeight="1">
      <c r="A663" s="127" t="s">
        <v>154</v>
      </c>
      <c r="B663" s="68">
        <v>810</v>
      </c>
      <c r="C663" s="57" t="s">
        <v>589</v>
      </c>
      <c r="D663" s="57" t="s">
        <v>26</v>
      </c>
      <c r="E663" s="57" t="s">
        <v>51</v>
      </c>
      <c r="F663" s="57"/>
      <c r="G663" s="91">
        <f>G664</f>
        <v>576.8</v>
      </c>
      <c r="H663" s="91">
        <f>H664</f>
        <v>0</v>
      </c>
      <c r="I663" s="91">
        <f t="shared" si="66"/>
        <v>576.8</v>
      </c>
      <c r="J663" s="91">
        <f>J664</f>
        <v>0</v>
      </c>
      <c r="K663" s="91">
        <f t="shared" si="67"/>
        <v>576.8</v>
      </c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1:23" ht="18.75" customHeight="1">
      <c r="A664" s="127" t="s">
        <v>811</v>
      </c>
      <c r="B664" s="68">
        <v>810</v>
      </c>
      <c r="C664" s="57" t="s">
        <v>589</v>
      </c>
      <c r="D664" s="57" t="s">
        <v>26</v>
      </c>
      <c r="E664" s="57" t="s">
        <v>51</v>
      </c>
      <c r="F664" s="57" t="s">
        <v>117</v>
      </c>
      <c r="G664" s="91">
        <f>'прил.8'!G854</f>
        <v>576.8</v>
      </c>
      <c r="H664" s="91">
        <f>'прил.8'!H854</f>
        <v>0</v>
      </c>
      <c r="I664" s="91">
        <f t="shared" si="66"/>
        <v>576.8</v>
      </c>
      <c r="J664" s="91">
        <f>'прил.8'!J854</f>
        <v>0</v>
      </c>
      <c r="K664" s="91">
        <f t="shared" si="67"/>
        <v>576.8</v>
      </c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 spans="1:23" ht="33" customHeight="1">
      <c r="A665" s="127" t="s">
        <v>155</v>
      </c>
      <c r="B665" s="68">
        <v>810</v>
      </c>
      <c r="C665" s="57" t="s">
        <v>589</v>
      </c>
      <c r="D665" s="57" t="s">
        <v>26</v>
      </c>
      <c r="E665" s="57" t="s">
        <v>52</v>
      </c>
      <c r="F665" s="57"/>
      <c r="G665" s="91">
        <f>G666</f>
        <v>362</v>
      </c>
      <c r="H665" s="91">
        <f>H666</f>
        <v>0</v>
      </c>
      <c r="I665" s="91">
        <f t="shared" si="66"/>
        <v>362</v>
      </c>
      <c r="J665" s="91">
        <f>J666</f>
        <v>0</v>
      </c>
      <c r="K665" s="91">
        <f t="shared" si="67"/>
        <v>362</v>
      </c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 spans="1:23" ht="16.5" customHeight="1">
      <c r="A666" s="127" t="s">
        <v>811</v>
      </c>
      <c r="B666" s="68">
        <v>810</v>
      </c>
      <c r="C666" s="57" t="s">
        <v>589</v>
      </c>
      <c r="D666" s="57" t="s">
        <v>26</v>
      </c>
      <c r="E666" s="57" t="s">
        <v>52</v>
      </c>
      <c r="F666" s="57" t="s">
        <v>117</v>
      </c>
      <c r="G666" s="91">
        <f>'прил.8'!G856</f>
        <v>362</v>
      </c>
      <c r="H666" s="91">
        <f>'прил.8'!H856</f>
        <v>0</v>
      </c>
      <c r="I666" s="91">
        <f t="shared" si="66"/>
        <v>362</v>
      </c>
      <c r="J666" s="91">
        <f>'прил.8'!J856</f>
        <v>0</v>
      </c>
      <c r="K666" s="91">
        <f t="shared" si="67"/>
        <v>362</v>
      </c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</row>
    <row r="667" spans="1:23" ht="32.25" customHeight="1">
      <c r="A667" s="135" t="s">
        <v>377</v>
      </c>
      <c r="B667" s="68"/>
      <c r="C667" s="57" t="s">
        <v>589</v>
      </c>
      <c r="D667" s="57" t="s">
        <v>26</v>
      </c>
      <c r="E667" s="67" t="s">
        <v>479</v>
      </c>
      <c r="F667" s="67"/>
      <c r="G667" s="91"/>
      <c r="H667" s="91">
        <f>H668</f>
        <v>500</v>
      </c>
      <c r="I667" s="91">
        <f t="shared" si="66"/>
        <v>500</v>
      </c>
      <c r="J667" s="91">
        <f>J668</f>
        <v>0</v>
      </c>
      <c r="K667" s="91">
        <f t="shared" si="67"/>
        <v>500</v>
      </c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</row>
    <row r="668" spans="1:23" ht="16.5" customHeight="1">
      <c r="A668" s="135" t="s">
        <v>635</v>
      </c>
      <c r="B668" s="68"/>
      <c r="C668" s="57" t="s">
        <v>589</v>
      </c>
      <c r="D668" s="57" t="s">
        <v>26</v>
      </c>
      <c r="E668" s="67" t="s">
        <v>479</v>
      </c>
      <c r="F668" s="67" t="s">
        <v>117</v>
      </c>
      <c r="G668" s="91"/>
      <c r="H668" s="91">
        <f>'прил.8'!H858</f>
        <v>500</v>
      </c>
      <c r="I668" s="91">
        <f t="shared" si="66"/>
        <v>500</v>
      </c>
      <c r="J668" s="91">
        <f>'прил.8'!J858</f>
        <v>0</v>
      </c>
      <c r="K668" s="91">
        <f t="shared" si="67"/>
        <v>500</v>
      </c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</row>
    <row r="669" spans="1:23" ht="18" customHeight="1">
      <c r="A669" s="121" t="s">
        <v>470</v>
      </c>
      <c r="B669" s="68">
        <v>801</v>
      </c>
      <c r="C669" s="57" t="s">
        <v>589</v>
      </c>
      <c r="D669" s="57" t="s">
        <v>26</v>
      </c>
      <c r="E669" s="57" t="s">
        <v>471</v>
      </c>
      <c r="F669" s="57"/>
      <c r="G669" s="91">
        <f aca="true" t="shared" si="70" ref="G669:J670">G670</f>
        <v>400</v>
      </c>
      <c r="H669" s="91">
        <f t="shared" si="70"/>
        <v>119.9</v>
      </c>
      <c r="I669" s="91">
        <f t="shared" si="66"/>
        <v>519.9</v>
      </c>
      <c r="J669" s="91">
        <f>J670+J672</f>
        <v>1675.8</v>
      </c>
      <c r="K669" s="91">
        <f t="shared" si="67"/>
        <v>2195.7</v>
      </c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</row>
    <row r="670" spans="1:23" ht="34.5" customHeight="1">
      <c r="A670" s="144" t="s">
        <v>522</v>
      </c>
      <c r="B670" s="68">
        <v>801</v>
      </c>
      <c r="C670" s="57" t="s">
        <v>589</v>
      </c>
      <c r="D670" s="57" t="s">
        <v>26</v>
      </c>
      <c r="E670" s="57" t="s">
        <v>472</v>
      </c>
      <c r="F670" s="57"/>
      <c r="G670" s="91">
        <f t="shared" si="70"/>
        <v>400</v>
      </c>
      <c r="H670" s="91">
        <f t="shared" si="70"/>
        <v>119.9</v>
      </c>
      <c r="I670" s="91">
        <f t="shared" si="66"/>
        <v>519.9</v>
      </c>
      <c r="J670" s="91">
        <f t="shared" si="70"/>
        <v>0</v>
      </c>
      <c r="K670" s="91">
        <f t="shared" si="67"/>
        <v>519.9</v>
      </c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</row>
    <row r="671" spans="1:23" ht="15.75" customHeight="1">
      <c r="A671" s="121" t="s">
        <v>467</v>
      </c>
      <c r="B671" s="68">
        <v>801</v>
      </c>
      <c r="C671" s="57" t="s">
        <v>589</v>
      </c>
      <c r="D671" s="57" t="s">
        <v>26</v>
      </c>
      <c r="E671" s="57" t="s">
        <v>472</v>
      </c>
      <c r="F671" s="57" t="s">
        <v>46</v>
      </c>
      <c r="G671" s="91">
        <f>'прил.8'!G160</f>
        <v>400</v>
      </c>
      <c r="H671" s="91">
        <f>'прил.8'!H160</f>
        <v>119.9</v>
      </c>
      <c r="I671" s="91">
        <f t="shared" si="66"/>
        <v>519.9</v>
      </c>
      <c r="J671" s="91">
        <f>'прил.8'!J160</f>
        <v>0</v>
      </c>
      <c r="K671" s="91">
        <f t="shared" si="67"/>
        <v>519.9</v>
      </c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</row>
    <row r="672" spans="1:23" ht="38.25" customHeight="1">
      <c r="A672" s="129" t="s">
        <v>745</v>
      </c>
      <c r="B672" s="68"/>
      <c r="C672" s="67" t="s">
        <v>589</v>
      </c>
      <c r="D672" s="67" t="s">
        <v>26</v>
      </c>
      <c r="E672" s="67" t="s">
        <v>746</v>
      </c>
      <c r="F672" s="67"/>
      <c r="G672" s="91"/>
      <c r="H672" s="91"/>
      <c r="I672" s="91"/>
      <c r="J672" s="91">
        <f>J673</f>
        <v>1675.8</v>
      </c>
      <c r="K672" s="91">
        <f t="shared" si="67"/>
        <v>1675.8</v>
      </c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</row>
    <row r="673" spans="1:23" ht="21.75" customHeight="1">
      <c r="A673" s="121" t="s">
        <v>656</v>
      </c>
      <c r="B673" s="68"/>
      <c r="C673" s="67" t="s">
        <v>589</v>
      </c>
      <c r="D673" s="67" t="s">
        <v>26</v>
      </c>
      <c r="E673" s="67" t="s">
        <v>746</v>
      </c>
      <c r="F673" s="67" t="s">
        <v>117</v>
      </c>
      <c r="G673" s="91"/>
      <c r="H673" s="91"/>
      <c r="I673" s="91"/>
      <c r="J673" s="91">
        <f>'прил.8'!J861</f>
        <v>1675.8</v>
      </c>
      <c r="K673" s="91">
        <f t="shared" si="67"/>
        <v>1675.8</v>
      </c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</row>
    <row r="674" spans="1:23" ht="17.25" customHeight="1">
      <c r="A674" s="121" t="s">
        <v>718</v>
      </c>
      <c r="B674" s="68"/>
      <c r="C674" s="57" t="s">
        <v>589</v>
      </c>
      <c r="D674" s="57" t="s">
        <v>26</v>
      </c>
      <c r="E674" s="57" t="s">
        <v>80</v>
      </c>
      <c r="F674" s="57"/>
      <c r="G674" s="91">
        <f>G680+G682+G675</f>
        <v>516021.80000000005</v>
      </c>
      <c r="H674" s="91">
        <f>H680+H682+H675</f>
        <v>0</v>
      </c>
      <c r="I674" s="91">
        <f t="shared" si="66"/>
        <v>516021.80000000005</v>
      </c>
      <c r="J674" s="91">
        <f>J680+J682+J675</f>
        <v>0</v>
      </c>
      <c r="K674" s="91">
        <f t="shared" si="67"/>
        <v>516021.80000000005</v>
      </c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</row>
    <row r="675" spans="1:23" ht="15.75" customHeight="1">
      <c r="A675" s="123" t="s">
        <v>767</v>
      </c>
      <c r="B675" s="68"/>
      <c r="C675" s="57" t="s">
        <v>589</v>
      </c>
      <c r="D675" s="57" t="s">
        <v>26</v>
      </c>
      <c r="E675" s="57" t="s">
        <v>83</v>
      </c>
      <c r="F675" s="57"/>
      <c r="G675" s="91">
        <f>G676+G678</f>
        <v>5967.7</v>
      </c>
      <c r="H675" s="91">
        <f>H676+H678</f>
        <v>0</v>
      </c>
      <c r="I675" s="91">
        <f t="shared" si="66"/>
        <v>5967.7</v>
      </c>
      <c r="J675" s="91">
        <f>J676+J678</f>
        <v>0</v>
      </c>
      <c r="K675" s="91">
        <f t="shared" si="67"/>
        <v>5967.7</v>
      </c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</row>
    <row r="676" spans="1:23" ht="125.25" customHeight="1">
      <c r="A676" s="123" t="s">
        <v>426</v>
      </c>
      <c r="B676" s="68"/>
      <c r="C676" s="57" t="s">
        <v>589</v>
      </c>
      <c r="D676" s="57" t="s">
        <v>26</v>
      </c>
      <c r="E676" s="57" t="s">
        <v>87</v>
      </c>
      <c r="F676" s="57"/>
      <c r="G676" s="91">
        <f>G677</f>
        <v>2474.5</v>
      </c>
      <c r="H676" s="91">
        <f>H677</f>
        <v>0</v>
      </c>
      <c r="I676" s="91">
        <f t="shared" si="66"/>
        <v>2474.5</v>
      </c>
      <c r="J676" s="91">
        <f>J677</f>
        <v>0</v>
      </c>
      <c r="K676" s="91">
        <f t="shared" si="67"/>
        <v>2474.5</v>
      </c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</row>
    <row r="677" spans="1:23" ht="19.5" customHeight="1">
      <c r="A677" s="121" t="s">
        <v>656</v>
      </c>
      <c r="B677" s="68"/>
      <c r="C677" s="57" t="s">
        <v>589</v>
      </c>
      <c r="D677" s="57" t="s">
        <v>26</v>
      </c>
      <c r="E677" s="57" t="s">
        <v>87</v>
      </c>
      <c r="F677" s="57" t="s">
        <v>117</v>
      </c>
      <c r="G677" s="91">
        <f>'прил.8'!G449+'прил.8'!G865</f>
        <v>2474.5</v>
      </c>
      <c r="H677" s="91">
        <f>'прил.8'!H449+'прил.8'!H865</f>
        <v>0</v>
      </c>
      <c r="I677" s="91">
        <f t="shared" si="66"/>
        <v>2474.5</v>
      </c>
      <c r="J677" s="91">
        <f>'прил.8'!J449+'прил.8'!J865</f>
        <v>0</v>
      </c>
      <c r="K677" s="91">
        <f t="shared" si="67"/>
        <v>2474.5</v>
      </c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</row>
    <row r="678" spans="1:23" ht="135" customHeight="1">
      <c r="A678" s="136" t="s">
        <v>744</v>
      </c>
      <c r="B678" s="68"/>
      <c r="C678" s="57" t="s">
        <v>589</v>
      </c>
      <c r="D678" s="57" t="s">
        <v>26</v>
      </c>
      <c r="E678" s="57" t="s">
        <v>579</v>
      </c>
      <c r="F678" s="57"/>
      <c r="G678" s="91">
        <f>G679</f>
        <v>3493.2</v>
      </c>
      <c r="H678" s="91">
        <f>H679</f>
        <v>0</v>
      </c>
      <c r="I678" s="91">
        <f t="shared" si="66"/>
        <v>3493.2</v>
      </c>
      <c r="J678" s="91">
        <f>J679</f>
        <v>0</v>
      </c>
      <c r="K678" s="91">
        <f t="shared" si="67"/>
        <v>3493.2</v>
      </c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 spans="1:23" ht="19.5" customHeight="1">
      <c r="A679" s="121" t="s">
        <v>656</v>
      </c>
      <c r="B679" s="68"/>
      <c r="C679" s="57" t="s">
        <v>589</v>
      </c>
      <c r="D679" s="57" t="s">
        <v>26</v>
      </c>
      <c r="E679" s="57" t="s">
        <v>579</v>
      </c>
      <c r="F679" s="57" t="s">
        <v>117</v>
      </c>
      <c r="G679" s="91">
        <f>'прил.8'!G451</f>
        <v>3493.2</v>
      </c>
      <c r="H679" s="91">
        <f>'прил.8'!H451</f>
        <v>0</v>
      </c>
      <c r="I679" s="91">
        <f t="shared" si="66"/>
        <v>3493.2</v>
      </c>
      <c r="J679" s="91">
        <f>'прил.8'!J451</f>
        <v>0</v>
      </c>
      <c r="K679" s="91">
        <f t="shared" si="67"/>
        <v>3493.2</v>
      </c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</row>
    <row r="680" spans="1:23" ht="118.5" customHeight="1">
      <c r="A680" s="136" t="s">
        <v>427</v>
      </c>
      <c r="B680" s="68"/>
      <c r="C680" s="57" t="s">
        <v>589</v>
      </c>
      <c r="D680" s="57" t="s">
        <v>26</v>
      </c>
      <c r="E680" s="57" t="s">
        <v>78</v>
      </c>
      <c r="F680" s="57"/>
      <c r="G680" s="91">
        <f>G681</f>
        <v>367154.10000000003</v>
      </c>
      <c r="H680" s="91">
        <f>H681</f>
        <v>0</v>
      </c>
      <c r="I680" s="91">
        <f t="shared" si="66"/>
        <v>367154.10000000003</v>
      </c>
      <c r="J680" s="91">
        <f>J681</f>
        <v>0</v>
      </c>
      <c r="K680" s="91">
        <f t="shared" si="67"/>
        <v>367154.10000000003</v>
      </c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 spans="1:23" ht="17.25" customHeight="1">
      <c r="A681" s="121" t="s">
        <v>656</v>
      </c>
      <c r="B681" s="68"/>
      <c r="C681" s="57" t="s">
        <v>589</v>
      </c>
      <c r="D681" s="57" t="s">
        <v>26</v>
      </c>
      <c r="E681" s="57" t="s">
        <v>78</v>
      </c>
      <c r="F681" s="57" t="s">
        <v>117</v>
      </c>
      <c r="G681" s="91">
        <f>'прил.8'!G867</f>
        <v>367154.10000000003</v>
      </c>
      <c r="H681" s="91">
        <f>'прил.8'!H867</f>
        <v>0</v>
      </c>
      <c r="I681" s="91">
        <f t="shared" si="66"/>
        <v>367154.10000000003</v>
      </c>
      <c r="J681" s="91">
        <f>'прил.8'!J867</f>
        <v>0</v>
      </c>
      <c r="K681" s="91">
        <f t="shared" si="67"/>
        <v>367154.10000000003</v>
      </c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 spans="1:23" ht="151.5" customHeight="1">
      <c r="A682" s="136" t="s">
        <v>758</v>
      </c>
      <c r="B682" s="68"/>
      <c r="C682" s="57" t="s">
        <v>589</v>
      </c>
      <c r="D682" s="57" t="s">
        <v>26</v>
      </c>
      <c r="E682" s="57" t="s">
        <v>81</v>
      </c>
      <c r="F682" s="57"/>
      <c r="G682" s="91">
        <f>G683</f>
        <v>142900</v>
      </c>
      <c r="H682" s="91">
        <f>H683</f>
        <v>0</v>
      </c>
      <c r="I682" s="91">
        <f t="shared" si="66"/>
        <v>142900</v>
      </c>
      <c r="J682" s="91">
        <f>J683</f>
        <v>0</v>
      </c>
      <c r="K682" s="91">
        <f t="shared" si="67"/>
        <v>142900</v>
      </c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</row>
    <row r="683" spans="1:23" ht="15.75" customHeight="1">
      <c r="A683" s="121" t="s">
        <v>656</v>
      </c>
      <c r="B683" s="68"/>
      <c r="C683" s="57" t="s">
        <v>589</v>
      </c>
      <c r="D683" s="57" t="s">
        <v>26</v>
      </c>
      <c r="E683" s="57" t="s">
        <v>81</v>
      </c>
      <c r="F683" s="57" t="s">
        <v>117</v>
      </c>
      <c r="G683" s="91">
        <f>'прил.8'!G869</f>
        <v>142900</v>
      </c>
      <c r="H683" s="91">
        <f>'прил.8'!H869</f>
        <v>0</v>
      </c>
      <c r="I683" s="91">
        <f t="shared" si="66"/>
        <v>142900</v>
      </c>
      <c r="J683" s="91">
        <f>'прил.8'!J869</f>
        <v>0</v>
      </c>
      <c r="K683" s="91">
        <f t="shared" si="67"/>
        <v>142900</v>
      </c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 spans="1:23" ht="15.75" customHeight="1">
      <c r="A684" s="146" t="s">
        <v>441</v>
      </c>
      <c r="B684" s="68"/>
      <c r="C684" s="57" t="s">
        <v>589</v>
      </c>
      <c r="D684" s="57" t="s">
        <v>26</v>
      </c>
      <c r="E684" s="57" t="s">
        <v>433</v>
      </c>
      <c r="F684" s="57"/>
      <c r="G684" s="91"/>
      <c r="H684" s="91"/>
      <c r="I684" s="91"/>
      <c r="J684" s="91">
        <f>J685</f>
        <v>308.4</v>
      </c>
      <c r="K684" s="91">
        <f t="shared" si="67"/>
        <v>308.4</v>
      </c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 spans="1:23" ht="17.25" customHeight="1">
      <c r="A685" s="146" t="s">
        <v>470</v>
      </c>
      <c r="B685" s="68">
        <v>801</v>
      </c>
      <c r="C685" s="57" t="s">
        <v>589</v>
      </c>
      <c r="D685" s="57" t="s">
        <v>26</v>
      </c>
      <c r="E685" s="67" t="s">
        <v>434</v>
      </c>
      <c r="F685" s="57"/>
      <c r="G685" s="91">
        <f aca="true" t="shared" si="71" ref="G685:J686">G686</f>
        <v>0</v>
      </c>
      <c r="H685" s="91">
        <f t="shared" si="71"/>
        <v>0</v>
      </c>
      <c r="I685" s="91">
        <f t="shared" si="66"/>
        <v>0</v>
      </c>
      <c r="J685" s="91">
        <f t="shared" si="71"/>
        <v>308.4</v>
      </c>
      <c r="K685" s="91">
        <f t="shared" si="67"/>
        <v>308.4</v>
      </c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</row>
    <row r="686" spans="1:23" ht="18" customHeight="1">
      <c r="A686" s="136" t="s">
        <v>309</v>
      </c>
      <c r="B686" s="68">
        <v>801</v>
      </c>
      <c r="C686" s="57" t="s">
        <v>589</v>
      </c>
      <c r="D686" s="57" t="s">
        <v>26</v>
      </c>
      <c r="E686" s="67" t="s">
        <v>308</v>
      </c>
      <c r="F686" s="57"/>
      <c r="G686" s="91">
        <f t="shared" si="71"/>
        <v>0</v>
      </c>
      <c r="H686" s="91">
        <f t="shared" si="71"/>
        <v>0</v>
      </c>
      <c r="I686" s="91">
        <f t="shared" si="66"/>
        <v>0</v>
      </c>
      <c r="J686" s="91">
        <f t="shared" si="71"/>
        <v>308.4</v>
      </c>
      <c r="K686" s="91">
        <f t="shared" si="67"/>
        <v>308.4</v>
      </c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 spans="1:23" ht="18" customHeight="1">
      <c r="A687" s="121" t="s">
        <v>467</v>
      </c>
      <c r="B687" s="68">
        <v>801</v>
      </c>
      <c r="C687" s="57" t="s">
        <v>589</v>
      </c>
      <c r="D687" s="57" t="s">
        <v>26</v>
      </c>
      <c r="E687" s="67" t="s">
        <v>308</v>
      </c>
      <c r="F687" s="57" t="s">
        <v>46</v>
      </c>
      <c r="G687" s="91">
        <f>'прил.8'!G164</f>
        <v>0</v>
      </c>
      <c r="H687" s="91">
        <f>'прил.8'!H164</f>
        <v>0</v>
      </c>
      <c r="I687" s="91">
        <f t="shared" si="66"/>
        <v>0</v>
      </c>
      <c r="J687" s="91">
        <f>'прил.8'!J164</f>
        <v>308.4</v>
      </c>
      <c r="K687" s="91">
        <f t="shared" si="67"/>
        <v>308.4</v>
      </c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 spans="1:23" ht="17.25" customHeight="1">
      <c r="A688" s="121" t="s">
        <v>839</v>
      </c>
      <c r="B688" s="68">
        <v>805</v>
      </c>
      <c r="C688" s="57" t="s">
        <v>589</v>
      </c>
      <c r="D688" s="57" t="s">
        <v>27</v>
      </c>
      <c r="E688" s="57"/>
      <c r="F688" s="57"/>
      <c r="G688" s="91">
        <f>G689</f>
        <v>79701.9</v>
      </c>
      <c r="H688" s="91">
        <f>H689</f>
        <v>0</v>
      </c>
      <c r="I688" s="91">
        <f t="shared" si="66"/>
        <v>79701.9</v>
      </c>
      <c r="J688" s="91">
        <f>J689</f>
        <v>486.1999999999998</v>
      </c>
      <c r="K688" s="91">
        <f t="shared" si="67"/>
        <v>80188.09999999999</v>
      </c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</row>
    <row r="689" spans="1:23" ht="18.75" customHeight="1">
      <c r="A689" s="127" t="s">
        <v>799</v>
      </c>
      <c r="B689" s="68">
        <v>805</v>
      </c>
      <c r="C689" s="57" t="s">
        <v>589</v>
      </c>
      <c r="D689" s="57" t="s">
        <v>27</v>
      </c>
      <c r="E689" s="57" t="s">
        <v>561</v>
      </c>
      <c r="F689" s="57"/>
      <c r="G689" s="91">
        <f>G690+G692</f>
        <v>79701.9</v>
      </c>
      <c r="H689" s="91">
        <f>H690+H692</f>
        <v>0</v>
      </c>
      <c r="I689" s="91">
        <f t="shared" si="66"/>
        <v>79701.9</v>
      </c>
      <c r="J689" s="91">
        <f>J690+J692</f>
        <v>486.1999999999998</v>
      </c>
      <c r="K689" s="91">
        <f t="shared" si="67"/>
        <v>80188.09999999999</v>
      </c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</row>
    <row r="690" spans="1:23" ht="83.25" customHeight="1">
      <c r="A690" s="135" t="s">
        <v>528</v>
      </c>
      <c r="B690" s="68">
        <v>805</v>
      </c>
      <c r="C690" s="57" t="s">
        <v>589</v>
      </c>
      <c r="D690" s="57" t="s">
        <v>27</v>
      </c>
      <c r="E690" s="57" t="s">
        <v>372</v>
      </c>
      <c r="F690" s="57"/>
      <c r="G690" s="91">
        <f>G691</f>
        <v>43799.9</v>
      </c>
      <c r="H690" s="91">
        <f>H691</f>
        <v>0</v>
      </c>
      <c r="I690" s="91">
        <f t="shared" si="66"/>
        <v>43799.9</v>
      </c>
      <c r="J690" s="91">
        <f>J691</f>
        <v>0</v>
      </c>
      <c r="K690" s="91">
        <f t="shared" si="67"/>
        <v>43799.9</v>
      </c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</row>
    <row r="691" spans="1:23" ht="18" customHeight="1">
      <c r="A691" s="136" t="s">
        <v>656</v>
      </c>
      <c r="B691" s="68">
        <v>805</v>
      </c>
      <c r="C691" s="57" t="s">
        <v>589</v>
      </c>
      <c r="D691" s="57" t="s">
        <v>27</v>
      </c>
      <c r="E691" s="57" t="s">
        <v>372</v>
      </c>
      <c r="F691" s="57" t="s">
        <v>117</v>
      </c>
      <c r="G691" s="91">
        <f>'прил.8'!G455</f>
        <v>43799.9</v>
      </c>
      <c r="H691" s="91">
        <f>'прил.8'!H455</f>
        <v>0</v>
      </c>
      <c r="I691" s="91">
        <f t="shared" si="66"/>
        <v>43799.9</v>
      </c>
      <c r="J691" s="91">
        <f>'прил.8'!J455</f>
        <v>0</v>
      </c>
      <c r="K691" s="91">
        <f t="shared" si="67"/>
        <v>43799.9</v>
      </c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</row>
    <row r="692" spans="1:23" s="22" customFormat="1" ht="33" customHeight="1">
      <c r="A692" s="136" t="s">
        <v>529</v>
      </c>
      <c r="B692" s="68"/>
      <c r="C692" s="57" t="s">
        <v>589</v>
      </c>
      <c r="D692" s="57" t="s">
        <v>27</v>
      </c>
      <c r="E692" s="57" t="s">
        <v>244</v>
      </c>
      <c r="F692" s="57"/>
      <c r="G692" s="91">
        <f>G693</f>
        <v>35902</v>
      </c>
      <c r="H692" s="91">
        <f>H693</f>
        <v>0</v>
      </c>
      <c r="I692" s="91">
        <f t="shared" si="66"/>
        <v>35902</v>
      </c>
      <c r="J692" s="91">
        <f>J693</f>
        <v>486.1999999999998</v>
      </c>
      <c r="K692" s="91">
        <f t="shared" si="67"/>
        <v>36388.2</v>
      </c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</row>
    <row r="693" spans="1:23" s="23" customFormat="1" ht="18" customHeight="1">
      <c r="A693" s="121" t="s">
        <v>656</v>
      </c>
      <c r="B693" s="68"/>
      <c r="C693" s="57" t="s">
        <v>589</v>
      </c>
      <c r="D693" s="57" t="s">
        <v>27</v>
      </c>
      <c r="E693" s="57" t="s">
        <v>244</v>
      </c>
      <c r="F693" s="57" t="s">
        <v>117</v>
      </c>
      <c r="G693" s="91">
        <f>'прил.8'!G457</f>
        <v>35902</v>
      </c>
      <c r="H693" s="91">
        <f>'прил.8'!H457</f>
        <v>0</v>
      </c>
      <c r="I693" s="91">
        <f t="shared" si="66"/>
        <v>35902</v>
      </c>
      <c r="J693" s="91">
        <f>'прил.8'!J457</f>
        <v>486.1999999999998</v>
      </c>
      <c r="K693" s="91">
        <f t="shared" si="67"/>
        <v>36388.2</v>
      </c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</row>
    <row r="694" spans="1:23" ht="19.5" customHeight="1">
      <c r="A694" s="121" t="s">
        <v>816</v>
      </c>
      <c r="B694" s="68">
        <v>810</v>
      </c>
      <c r="C694" s="57" t="s">
        <v>589</v>
      </c>
      <c r="D694" s="57" t="s">
        <v>28</v>
      </c>
      <c r="E694" s="57"/>
      <c r="F694" s="57"/>
      <c r="G694" s="91">
        <f>G695+G698+G701+G712+G718+G707</f>
        <v>60743.8</v>
      </c>
      <c r="H694" s="91">
        <f>H695+H698+H701+H712+H718+H707</f>
        <v>-3759.8</v>
      </c>
      <c r="I694" s="91">
        <f t="shared" si="66"/>
        <v>56984</v>
      </c>
      <c r="J694" s="91">
        <f>J695+J698+J701+J712+J718+J707</f>
        <v>756.1000000000004</v>
      </c>
      <c r="K694" s="91">
        <f t="shared" si="67"/>
        <v>57740.1</v>
      </c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</row>
    <row r="695" spans="1:23" ht="53.25" customHeight="1">
      <c r="A695" s="123" t="s">
        <v>93</v>
      </c>
      <c r="B695" s="68">
        <v>810</v>
      </c>
      <c r="C695" s="57" t="s">
        <v>589</v>
      </c>
      <c r="D695" s="57" t="s">
        <v>28</v>
      </c>
      <c r="E695" s="57" t="s">
        <v>94</v>
      </c>
      <c r="F695" s="57"/>
      <c r="G695" s="91">
        <f aca="true" t="shared" si="72" ref="G695:J696">G696</f>
        <v>24520.8</v>
      </c>
      <c r="H695" s="91">
        <f t="shared" si="72"/>
        <v>-3759.8</v>
      </c>
      <c r="I695" s="91">
        <f t="shared" si="66"/>
        <v>20761</v>
      </c>
      <c r="J695" s="91">
        <f t="shared" si="72"/>
        <v>2907</v>
      </c>
      <c r="K695" s="91">
        <f t="shared" si="67"/>
        <v>23668</v>
      </c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</row>
    <row r="696" spans="1:23" ht="18" customHeight="1">
      <c r="A696" s="123" t="s">
        <v>673</v>
      </c>
      <c r="B696" s="68">
        <v>810</v>
      </c>
      <c r="C696" s="57" t="s">
        <v>589</v>
      </c>
      <c r="D696" s="57" t="s">
        <v>28</v>
      </c>
      <c r="E696" s="57" t="s">
        <v>96</v>
      </c>
      <c r="F696" s="57"/>
      <c r="G696" s="91">
        <f t="shared" si="72"/>
        <v>24520.8</v>
      </c>
      <c r="H696" s="91">
        <f t="shared" si="72"/>
        <v>-3759.8</v>
      </c>
      <c r="I696" s="91">
        <f t="shared" si="66"/>
        <v>20761</v>
      </c>
      <c r="J696" s="91">
        <f t="shared" si="72"/>
        <v>2907</v>
      </c>
      <c r="K696" s="91">
        <f t="shared" si="67"/>
        <v>23668</v>
      </c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</row>
    <row r="697" spans="1:23" ht="19.5" customHeight="1">
      <c r="A697" s="123" t="s">
        <v>438</v>
      </c>
      <c r="B697" s="68">
        <v>810</v>
      </c>
      <c r="C697" s="57" t="s">
        <v>589</v>
      </c>
      <c r="D697" s="57" t="s">
        <v>28</v>
      </c>
      <c r="E697" s="57" t="s">
        <v>96</v>
      </c>
      <c r="F697" s="57" t="s">
        <v>277</v>
      </c>
      <c r="G697" s="91">
        <f>'прил.8'!G873</f>
        <v>24520.8</v>
      </c>
      <c r="H697" s="91">
        <f>'прил.8'!H873</f>
        <v>-3759.8</v>
      </c>
      <c r="I697" s="91">
        <f t="shared" si="66"/>
        <v>20761</v>
      </c>
      <c r="J697" s="91">
        <f>'прил.8'!J873</f>
        <v>2907</v>
      </c>
      <c r="K697" s="91">
        <f t="shared" si="67"/>
        <v>23668</v>
      </c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 spans="1:23" ht="50.25" customHeight="1">
      <c r="A698" s="123" t="s">
        <v>783</v>
      </c>
      <c r="B698" s="68">
        <v>810</v>
      </c>
      <c r="C698" s="57" t="s">
        <v>589</v>
      </c>
      <c r="D698" s="57" t="s">
        <v>28</v>
      </c>
      <c r="E698" s="57" t="s">
        <v>648</v>
      </c>
      <c r="F698" s="57"/>
      <c r="G698" s="91">
        <f aca="true" t="shared" si="73" ref="G698:J699">G699</f>
        <v>862.3</v>
      </c>
      <c r="H698" s="91">
        <f t="shared" si="73"/>
        <v>0</v>
      </c>
      <c r="I698" s="91">
        <f t="shared" si="66"/>
        <v>862.3</v>
      </c>
      <c r="J698" s="91">
        <f t="shared" si="73"/>
        <v>63.9</v>
      </c>
      <c r="K698" s="91">
        <f t="shared" si="67"/>
        <v>926.1999999999999</v>
      </c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</row>
    <row r="699" spans="1:23" ht="18" customHeight="1">
      <c r="A699" s="121" t="s">
        <v>655</v>
      </c>
      <c r="B699" s="68">
        <v>810</v>
      </c>
      <c r="C699" s="57" t="s">
        <v>589</v>
      </c>
      <c r="D699" s="57" t="s">
        <v>28</v>
      </c>
      <c r="E699" s="57" t="s">
        <v>649</v>
      </c>
      <c r="F699" s="57"/>
      <c r="G699" s="91">
        <f t="shared" si="73"/>
        <v>862.3</v>
      </c>
      <c r="H699" s="91">
        <f t="shared" si="73"/>
        <v>0</v>
      </c>
      <c r="I699" s="91">
        <f t="shared" si="66"/>
        <v>862.3</v>
      </c>
      <c r="J699" s="91">
        <f t="shared" si="73"/>
        <v>63.9</v>
      </c>
      <c r="K699" s="91">
        <f t="shared" si="67"/>
        <v>926.1999999999999</v>
      </c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</row>
    <row r="700" spans="1:23" ht="16.5">
      <c r="A700" s="123" t="s">
        <v>63</v>
      </c>
      <c r="B700" s="68">
        <v>810</v>
      </c>
      <c r="C700" s="57" t="s">
        <v>589</v>
      </c>
      <c r="D700" s="57" t="s">
        <v>28</v>
      </c>
      <c r="E700" s="57" t="s">
        <v>649</v>
      </c>
      <c r="F700" s="57" t="s">
        <v>660</v>
      </c>
      <c r="G700" s="91">
        <f>'прил.8'!G876</f>
        <v>862.3</v>
      </c>
      <c r="H700" s="91">
        <f>'прил.8'!H876</f>
        <v>0</v>
      </c>
      <c r="I700" s="91">
        <f t="shared" si="66"/>
        <v>862.3</v>
      </c>
      <c r="J700" s="91">
        <f>'прил.8'!J876</f>
        <v>63.9</v>
      </c>
      <c r="K700" s="91">
        <f t="shared" si="67"/>
        <v>926.1999999999999</v>
      </c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 spans="1:23" ht="18" customHeight="1">
      <c r="A701" s="121" t="s">
        <v>145</v>
      </c>
      <c r="B701" s="68">
        <v>810</v>
      </c>
      <c r="C701" s="57" t="s">
        <v>589</v>
      </c>
      <c r="D701" s="57" t="s">
        <v>28</v>
      </c>
      <c r="E701" s="57" t="s">
        <v>468</v>
      </c>
      <c r="F701" s="57"/>
      <c r="G701" s="91">
        <f>G702+G704</f>
        <v>11303.300000000001</v>
      </c>
      <c r="H701" s="91">
        <f>H702+H704</f>
        <v>0</v>
      </c>
      <c r="I701" s="91">
        <f t="shared" si="66"/>
        <v>11303.300000000001</v>
      </c>
      <c r="J701" s="91">
        <f>J702+J704</f>
        <v>-465.2</v>
      </c>
      <c r="K701" s="91">
        <f t="shared" si="67"/>
        <v>10838.1</v>
      </c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</row>
    <row r="702" spans="1:23" ht="35.25" customHeight="1">
      <c r="A702" s="127" t="s">
        <v>172</v>
      </c>
      <c r="B702" s="68"/>
      <c r="C702" s="57" t="s">
        <v>589</v>
      </c>
      <c r="D702" s="57" t="s">
        <v>28</v>
      </c>
      <c r="E702" s="57" t="s">
        <v>146</v>
      </c>
      <c r="F702" s="57"/>
      <c r="G702" s="91">
        <f>G703</f>
        <v>1487</v>
      </c>
      <c r="H702" s="91">
        <f>H703</f>
        <v>0</v>
      </c>
      <c r="I702" s="91">
        <f t="shared" si="66"/>
        <v>1487</v>
      </c>
      <c r="J702" s="91">
        <f>J703</f>
        <v>-465.2</v>
      </c>
      <c r="K702" s="91">
        <f t="shared" si="67"/>
        <v>1021.8</v>
      </c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</row>
    <row r="703" spans="1:23" ht="18" customHeight="1">
      <c r="A703" s="123" t="s">
        <v>453</v>
      </c>
      <c r="B703" s="68"/>
      <c r="C703" s="57" t="s">
        <v>589</v>
      </c>
      <c r="D703" s="57" t="s">
        <v>28</v>
      </c>
      <c r="E703" s="57" t="s">
        <v>146</v>
      </c>
      <c r="F703" s="57" t="s">
        <v>275</v>
      </c>
      <c r="G703" s="91">
        <f>'прил.8'!G879</f>
        <v>1487</v>
      </c>
      <c r="H703" s="91">
        <f>'прил.8'!H879</f>
        <v>0</v>
      </c>
      <c r="I703" s="91">
        <f t="shared" si="66"/>
        <v>1487</v>
      </c>
      <c r="J703" s="91">
        <f>'прил.8'!J879</f>
        <v>-465.2</v>
      </c>
      <c r="K703" s="91">
        <f t="shared" si="67"/>
        <v>1021.8</v>
      </c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</row>
    <row r="704" spans="1:23" ht="33" customHeight="1">
      <c r="A704" s="135" t="s">
        <v>710</v>
      </c>
      <c r="B704" s="68">
        <v>810</v>
      </c>
      <c r="C704" s="57" t="s">
        <v>589</v>
      </c>
      <c r="D704" s="57" t="s">
        <v>28</v>
      </c>
      <c r="E704" s="57" t="s">
        <v>364</v>
      </c>
      <c r="F704" s="57"/>
      <c r="G704" s="91">
        <f>SUM(G705:G706)</f>
        <v>9816.300000000001</v>
      </c>
      <c r="H704" s="91">
        <f>SUM(H705:H706)</f>
        <v>0</v>
      </c>
      <c r="I704" s="91">
        <f t="shared" si="66"/>
        <v>9816.300000000001</v>
      </c>
      <c r="J704" s="91">
        <f>SUM(J705:J706)</f>
        <v>0</v>
      </c>
      <c r="K704" s="91">
        <f t="shared" si="67"/>
        <v>9816.300000000001</v>
      </c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</row>
    <row r="705" spans="1:23" ht="18" customHeight="1">
      <c r="A705" s="123" t="s">
        <v>63</v>
      </c>
      <c r="B705" s="68"/>
      <c r="C705" s="57" t="s">
        <v>589</v>
      </c>
      <c r="D705" s="57" t="s">
        <v>28</v>
      </c>
      <c r="E705" s="57" t="s">
        <v>364</v>
      </c>
      <c r="F705" s="57" t="s">
        <v>660</v>
      </c>
      <c r="G705" s="91">
        <f>'прил.8'!G881</f>
        <v>528.1</v>
      </c>
      <c r="H705" s="91">
        <f>'прил.8'!H881</f>
        <v>0</v>
      </c>
      <c r="I705" s="91">
        <f aca="true" t="shared" si="74" ref="I705:I770">G705+H705</f>
        <v>528.1</v>
      </c>
      <c r="J705" s="91">
        <f>'прил.8'!J881</f>
        <v>0</v>
      </c>
      <c r="K705" s="91">
        <f aca="true" t="shared" si="75" ref="K705:K770">I705+J705</f>
        <v>528.1</v>
      </c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</row>
    <row r="706" spans="1:23" ht="20.25" customHeight="1">
      <c r="A706" s="123" t="s">
        <v>453</v>
      </c>
      <c r="B706" s="68">
        <v>810</v>
      </c>
      <c r="C706" s="57" t="s">
        <v>589</v>
      </c>
      <c r="D706" s="57" t="s">
        <v>28</v>
      </c>
      <c r="E706" s="57" t="s">
        <v>364</v>
      </c>
      <c r="F706" s="57" t="s">
        <v>275</v>
      </c>
      <c r="G706" s="91">
        <f>'прил.8'!G882</f>
        <v>9288.2</v>
      </c>
      <c r="H706" s="91">
        <f>'прил.8'!H882</f>
        <v>0</v>
      </c>
      <c r="I706" s="91">
        <f t="shared" si="74"/>
        <v>9288.2</v>
      </c>
      <c r="J706" s="91">
        <f>'прил.8'!J882</f>
        <v>0</v>
      </c>
      <c r="K706" s="91">
        <f t="shared" si="75"/>
        <v>9288.2</v>
      </c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</row>
    <row r="707" spans="1:23" ht="21" customHeight="1">
      <c r="A707" s="130" t="s">
        <v>470</v>
      </c>
      <c r="B707" s="68"/>
      <c r="C707" s="57" t="s">
        <v>589</v>
      </c>
      <c r="D707" s="57" t="s">
        <v>28</v>
      </c>
      <c r="E707" s="57" t="s">
        <v>471</v>
      </c>
      <c r="F707" s="57"/>
      <c r="G707" s="91">
        <f aca="true" t="shared" si="76" ref="G707:J708">G708</f>
        <v>2380</v>
      </c>
      <c r="H707" s="91">
        <f t="shared" si="76"/>
        <v>0</v>
      </c>
      <c r="I707" s="91">
        <f t="shared" si="74"/>
        <v>2380</v>
      </c>
      <c r="J707" s="91">
        <f>J708+J710</f>
        <v>-301.8</v>
      </c>
      <c r="K707" s="91">
        <f t="shared" si="75"/>
        <v>2078.2</v>
      </c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</row>
    <row r="708" spans="1:23" ht="34.5" customHeight="1">
      <c r="A708" s="120" t="s">
        <v>518</v>
      </c>
      <c r="B708" s="68"/>
      <c r="C708" s="57" t="s">
        <v>589</v>
      </c>
      <c r="D708" s="57" t="s">
        <v>28</v>
      </c>
      <c r="E708" s="57" t="s">
        <v>553</v>
      </c>
      <c r="F708" s="57"/>
      <c r="G708" s="91">
        <f t="shared" si="76"/>
        <v>2380</v>
      </c>
      <c r="H708" s="91">
        <f t="shared" si="76"/>
        <v>0</v>
      </c>
      <c r="I708" s="91">
        <f t="shared" si="74"/>
        <v>2380</v>
      </c>
      <c r="J708" s="91">
        <f t="shared" si="76"/>
        <v>-301.8</v>
      </c>
      <c r="K708" s="91">
        <f t="shared" si="75"/>
        <v>2078.2</v>
      </c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</row>
    <row r="709" spans="1:23" ht="18" customHeight="1">
      <c r="A709" s="130" t="s">
        <v>534</v>
      </c>
      <c r="B709" s="68"/>
      <c r="C709" s="57" t="s">
        <v>589</v>
      </c>
      <c r="D709" s="57" t="s">
        <v>28</v>
      </c>
      <c r="E709" s="57" t="s">
        <v>553</v>
      </c>
      <c r="F709" s="57" t="s">
        <v>104</v>
      </c>
      <c r="G709" s="91">
        <f>'прил.8'!G288+'прил.8'!G885</f>
        <v>2380</v>
      </c>
      <c r="H709" s="91">
        <f>'прил.8'!H288+'прил.8'!H885</f>
        <v>0</v>
      </c>
      <c r="I709" s="91">
        <f t="shared" si="74"/>
        <v>2380</v>
      </c>
      <c r="J709" s="91">
        <f>'прил.8'!J288+'прил.8'!J885</f>
        <v>-301.8</v>
      </c>
      <c r="K709" s="91">
        <f t="shared" si="75"/>
        <v>2078.2</v>
      </c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</row>
    <row r="710" spans="1:23" ht="34.5" customHeight="1" hidden="1">
      <c r="A710" s="129" t="s">
        <v>745</v>
      </c>
      <c r="B710" s="68"/>
      <c r="C710" s="67" t="s">
        <v>589</v>
      </c>
      <c r="D710" s="67" t="s">
        <v>28</v>
      </c>
      <c r="E710" s="67" t="s">
        <v>746</v>
      </c>
      <c r="F710" s="67"/>
      <c r="G710" s="91"/>
      <c r="H710" s="91"/>
      <c r="I710" s="91"/>
      <c r="J710" s="91">
        <f>J711</f>
        <v>0</v>
      </c>
      <c r="K710" s="91">
        <f t="shared" si="75"/>
        <v>0</v>
      </c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</row>
    <row r="711" spans="1:23" ht="18" customHeight="1" hidden="1">
      <c r="A711" s="124" t="s">
        <v>63</v>
      </c>
      <c r="B711" s="68"/>
      <c r="C711" s="67" t="s">
        <v>589</v>
      </c>
      <c r="D711" s="67" t="s">
        <v>28</v>
      </c>
      <c r="E711" s="67" t="s">
        <v>746</v>
      </c>
      <c r="F711" s="67" t="s">
        <v>660</v>
      </c>
      <c r="G711" s="91"/>
      <c r="H711" s="91"/>
      <c r="I711" s="91"/>
      <c r="J711" s="91">
        <f>'прил.8'!J887</f>
        <v>0</v>
      </c>
      <c r="K711" s="91">
        <f t="shared" si="75"/>
        <v>0</v>
      </c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</row>
    <row r="712" spans="1:23" ht="21" customHeight="1">
      <c r="A712" s="121" t="s">
        <v>718</v>
      </c>
      <c r="B712" s="68"/>
      <c r="C712" s="57" t="s">
        <v>589</v>
      </c>
      <c r="D712" s="57" t="s">
        <v>28</v>
      </c>
      <c r="E712" s="57" t="s">
        <v>80</v>
      </c>
      <c r="F712" s="57"/>
      <c r="G712" s="91">
        <f>G716+G713</f>
        <v>19347.4</v>
      </c>
      <c r="H712" s="91">
        <f>H716+H713</f>
        <v>0</v>
      </c>
      <c r="I712" s="91">
        <f t="shared" si="74"/>
        <v>19347.4</v>
      </c>
      <c r="J712" s="91">
        <f>J716+J713</f>
        <v>-1203</v>
      </c>
      <c r="K712" s="91">
        <f t="shared" si="75"/>
        <v>18144.4</v>
      </c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</row>
    <row r="713" spans="1:23" ht="120.75" customHeight="1">
      <c r="A713" s="136" t="s">
        <v>427</v>
      </c>
      <c r="B713" s="68"/>
      <c r="C713" s="67" t="s">
        <v>589</v>
      </c>
      <c r="D713" s="67" t="s">
        <v>28</v>
      </c>
      <c r="E713" s="67" t="s">
        <v>78</v>
      </c>
      <c r="F713" s="67"/>
      <c r="G713" s="91">
        <f>G714+G715</f>
        <v>18047.2</v>
      </c>
      <c r="H713" s="91">
        <f>H714+H715</f>
        <v>0</v>
      </c>
      <c r="I713" s="91">
        <f t="shared" si="74"/>
        <v>18047.2</v>
      </c>
      <c r="J713" s="91">
        <f>J714+J715</f>
        <v>-1203</v>
      </c>
      <c r="K713" s="91">
        <f t="shared" si="75"/>
        <v>16844.2</v>
      </c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</row>
    <row r="714" spans="1:23" ht="21" customHeight="1">
      <c r="A714" s="124" t="s">
        <v>63</v>
      </c>
      <c r="B714" s="68"/>
      <c r="C714" s="67" t="s">
        <v>589</v>
      </c>
      <c r="D714" s="67" t="s">
        <v>28</v>
      </c>
      <c r="E714" s="67" t="s">
        <v>78</v>
      </c>
      <c r="F714" s="67" t="s">
        <v>660</v>
      </c>
      <c r="G714" s="91">
        <f>'прил.8'!G890</f>
        <v>6792.8</v>
      </c>
      <c r="H714" s="91">
        <f>'прил.8'!H890</f>
        <v>0</v>
      </c>
      <c r="I714" s="91">
        <f t="shared" si="74"/>
        <v>6792.8</v>
      </c>
      <c r="J714" s="91">
        <f>'прил.8'!J890</f>
        <v>0</v>
      </c>
      <c r="K714" s="91">
        <f t="shared" si="75"/>
        <v>6792.8</v>
      </c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</row>
    <row r="715" spans="1:23" ht="21" customHeight="1">
      <c r="A715" s="124" t="s">
        <v>453</v>
      </c>
      <c r="B715" s="68"/>
      <c r="C715" s="67" t="s">
        <v>589</v>
      </c>
      <c r="D715" s="67" t="s">
        <v>28</v>
      </c>
      <c r="E715" s="67" t="s">
        <v>78</v>
      </c>
      <c r="F715" s="67" t="s">
        <v>275</v>
      </c>
      <c r="G715" s="91">
        <f>'прил.8'!G891</f>
        <v>11254.4</v>
      </c>
      <c r="H715" s="91">
        <f>'прил.8'!H891</f>
        <v>0</v>
      </c>
      <c r="I715" s="91">
        <f t="shared" si="74"/>
        <v>11254.4</v>
      </c>
      <c r="J715" s="91">
        <f>'прил.8'!J891</f>
        <v>-1203</v>
      </c>
      <c r="K715" s="91">
        <f t="shared" si="75"/>
        <v>10051.4</v>
      </c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</row>
    <row r="716" spans="1:23" ht="53.25" customHeight="1">
      <c r="A716" s="120" t="s">
        <v>523</v>
      </c>
      <c r="B716" s="68"/>
      <c r="C716" s="57" t="s">
        <v>589</v>
      </c>
      <c r="D716" s="57" t="s">
        <v>28</v>
      </c>
      <c r="E716" s="57" t="s">
        <v>417</v>
      </c>
      <c r="F716" s="57"/>
      <c r="G716" s="91">
        <f>G717</f>
        <v>1300.2</v>
      </c>
      <c r="H716" s="91">
        <f>H717</f>
        <v>0</v>
      </c>
      <c r="I716" s="91">
        <f t="shared" si="74"/>
        <v>1300.2</v>
      </c>
      <c r="J716" s="91">
        <f>J717</f>
        <v>0</v>
      </c>
      <c r="K716" s="91">
        <f t="shared" si="75"/>
        <v>1300.2</v>
      </c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</row>
    <row r="717" spans="1:23" ht="21" customHeight="1">
      <c r="A717" s="123" t="s">
        <v>453</v>
      </c>
      <c r="B717" s="68"/>
      <c r="C717" s="57" t="s">
        <v>589</v>
      </c>
      <c r="D717" s="57" t="s">
        <v>28</v>
      </c>
      <c r="E717" s="57" t="s">
        <v>417</v>
      </c>
      <c r="F717" s="57" t="s">
        <v>275</v>
      </c>
      <c r="G717" s="91">
        <f>'прил.8'!G893</f>
        <v>1300.2</v>
      </c>
      <c r="H717" s="91">
        <f>'прил.8'!H893</f>
        <v>0</v>
      </c>
      <c r="I717" s="91">
        <f t="shared" si="74"/>
        <v>1300.2</v>
      </c>
      <c r="J717" s="91">
        <f>'прил.8'!J893</f>
        <v>0</v>
      </c>
      <c r="K717" s="91">
        <f t="shared" si="75"/>
        <v>1300.2</v>
      </c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</row>
    <row r="718" spans="1:23" ht="19.5" customHeight="1">
      <c r="A718" s="121" t="s">
        <v>441</v>
      </c>
      <c r="B718" s="68">
        <v>810</v>
      </c>
      <c r="C718" s="57" t="s">
        <v>589</v>
      </c>
      <c r="D718" s="57" t="s">
        <v>28</v>
      </c>
      <c r="E718" s="62" t="s">
        <v>433</v>
      </c>
      <c r="F718" s="62"/>
      <c r="G718" s="91">
        <f>G720+G722</f>
        <v>2330</v>
      </c>
      <c r="H718" s="91">
        <f>H720+H722</f>
        <v>0</v>
      </c>
      <c r="I718" s="91">
        <f t="shared" si="74"/>
        <v>2330</v>
      </c>
      <c r="J718" s="91">
        <f>J720+J722</f>
        <v>-244.8</v>
      </c>
      <c r="K718" s="91">
        <f t="shared" si="75"/>
        <v>2085.2</v>
      </c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</row>
    <row r="719" spans="1:23" ht="19.5" customHeight="1">
      <c r="A719" s="121" t="s">
        <v>470</v>
      </c>
      <c r="B719" s="68"/>
      <c r="C719" s="57" t="s">
        <v>589</v>
      </c>
      <c r="D719" s="57" t="s">
        <v>28</v>
      </c>
      <c r="E719" s="57" t="s">
        <v>434</v>
      </c>
      <c r="F719" s="62"/>
      <c r="G719" s="91">
        <f>G721+G724</f>
        <v>1338</v>
      </c>
      <c r="H719" s="91">
        <f>H721+H724</f>
        <v>0</v>
      </c>
      <c r="I719" s="91">
        <f t="shared" si="74"/>
        <v>1338</v>
      </c>
      <c r="J719" s="91">
        <f>J721+J724</f>
        <v>-244.8</v>
      </c>
      <c r="K719" s="91">
        <f t="shared" si="75"/>
        <v>1093.2</v>
      </c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</row>
    <row r="720" spans="1:23" ht="17.25" customHeight="1">
      <c r="A720" s="121" t="s">
        <v>279</v>
      </c>
      <c r="B720" s="68">
        <v>810</v>
      </c>
      <c r="C720" s="57" t="s">
        <v>589</v>
      </c>
      <c r="D720" s="57" t="s">
        <v>28</v>
      </c>
      <c r="E720" s="57" t="s">
        <v>446</v>
      </c>
      <c r="F720" s="57"/>
      <c r="G720" s="91">
        <f>G721</f>
        <v>300</v>
      </c>
      <c r="H720" s="91">
        <f>H721</f>
        <v>0</v>
      </c>
      <c r="I720" s="91">
        <f t="shared" si="74"/>
        <v>300</v>
      </c>
      <c r="J720" s="91">
        <f>J721</f>
        <v>0</v>
      </c>
      <c r="K720" s="91">
        <f t="shared" si="75"/>
        <v>300</v>
      </c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</row>
    <row r="721" spans="1:23" ht="18.75" customHeight="1">
      <c r="A721" s="123" t="s">
        <v>620</v>
      </c>
      <c r="B721" s="68">
        <v>810</v>
      </c>
      <c r="C721" s="57" t="s">
        <v>589</v>
      </c>
      <c r="D721" s="57" t="s">
        <v>28</v>
      </c>
      <c r="E721" s="57" t="s">
        <v>446</v>
      </c>
      <c r="F721" s="57" t="s">
        <v>104</v>
      </c>
      <c r="G721" s="91">
        <f>'прил.8'!G897</f>
        <v>300</v>
      </c>
      <c r="H721" s="91">
        <f>'прил.8'!H897</f>
        <v>0</v>
      </c>
      <c r="I721" s="91">
        <f t="shared" si="74"/>
        <v>300</v>
      </c>
      <c r="J721" s="91">
        <f>'прил.8'!J897</f>
        <v>0</v>
      </c>
      <c r="K721" s="91">
        <f t="shared" si="75"/>
        <v>300</v>
      </c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</row>
    <row r="722" spans="1:23" ht="18.75" customHeight="1">
      <c r="A722" s="130" t="s">
        <v>524</v>
      </c>
      <c r="B722" s="68"/>
      <c r="C722" s="57" t="s">
        <v>589</v>
      </c>
      <c r="D722" s="57" t="s">
        <v>28</v>
      </c>
      <c r="E722" s="57" t="s">
        <v>445</v>
      </c>
      <c r="F722" s="57"/>
      <c r="G722" s="91">
        <f>G723+G724</f>
        <v>2030</v>
      </c>
      <c r="H722" s="91">
        <f>H723+H724</f>
        <v>0</v>
      </c>
      <c r="I722" s="91">
        <f t="shared" si="74"/>
        <v>2030</v>
      </c>
      <c r="J722" s="91">
        <f>J723+J724</f>
        <v>-244.8</v>
      </c>
      <c r="K722" s="91">
        <f t="shared" si="75"/>
        <v>1785.2</v>
      </c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</row>
    <row r="723" spans="1:23" ht="21.75" customHeight="1">
      <c r="A723" s="127" t="s">
        <v>733</v>
      </c>
      <c r="B723" s="68"/>
      <c r="C723" s="57" t="s">
        <v>589</v>
      </c>
      <c r="D723" s="57" t="s">
        <v>28</v>
      </c>
      <c r="E723" s="57" t="s">
        <v>445</v>
      </c>
      <c r="F723" s="57" t="s">
        <v>318</v>
      </c>
      <c r="G723" s="91">
        <f>'прил.8'!G757</f>
        <v>992</v>
      </c>
      <c r="H723" s="91">
        <f>'прил.8'!H757</f>
        <v>0</v>
      </c>
      <c r="I723" s="91">
        <f t="shared" si="74"/>
        <v>992</v>
      </c>
      <c r="J723" s="91">
        <f>'прил.8'!J757</f>
        <v>0</v>
      </c>
      <c r="K723" s="91">
        <f t="shared" si="75"/>
        <v>992</v>
      </c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</row>
    <row r="724" spans="1:23" ht="18.75" customHeight="1">
      <c r="A724" s="123" t="s">
        <v>534</v>
      </c>
      <c r="B724" s="68"/>
      <c r="C724" s="57" t="s">
        <v>589</v>
      </c>
      <c r="D724" s="57" t="s">
        <v>28</v>
      </c>
      <c r="E724" s="57" t="s">
        <v>445</v>
      </c>
      <c r="F724" s="57" t="s">
        <v>104</v>
      </c>
      <c r="G724" s="91">
        <f>'прил.8'!G462+'прил.8'!G711+'прил.8'!G292</f>
        <v>1038</v>
      </c>
      <c r="H724" s="91">
        <f>'прил.8'!H462+'прил.8'!H711+'прил.8'!H292</f>
        <v>0</v>
      </c>
      <c r="I724" s="91">
        <f t="shared" si="74"/>
        <v>1038</v>
      </c>
      <c r="J724" s="91">
        <f>'прил.8'!J462+'прил.8'!J711+'прил.8'!J292</f>
        <v>-244.8</v>
      </c>
      <c r="K724" s="91">
        <f t="shared" si="75"/>
        <v>793.2</v>
      </c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</row>
    <row r="725" spans="1:23" ht="18.75" customHeight="1">
      <c r="A725" s="127" t="s">
        <v>609</v>
      </c>
      <c r="B725" s="14">
        <v>809</v>
      </c>
      <c r="C725" s="62" t="s">
        <v>111</v>
      </c>
      <c r="D725" s="62"/>
      <c r="E725" s="62"/>
      <c r="F725" s="62"/>
      <c r="G725" s="91">
        <f>G726+G749+G740+G744</f>
        <v>286181.5</v>
      </c>
      <c r="H725" s="91">
        <f>H726+H749+H740+H744</f>
        <v>-1813.3000000000002</v>
      </c>
      <c r="I725" s="91">
        <f t="shared" si="74"/>
        <v>284368.2</v>
      </c>
      <c r="J725" s="91">
        <f>J726+J749+J740+J744</f>
        <v>210472.4</v>
      </c>
      <c r="K725" s="91">
        <f t="shared" si="75"/>
        <v>494840.6</v>
      </c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</row>
    <row r="726" spans="1:23" ht="18.75" customHeight="1">
      <c r="A726" s="121" t="s">
        <v>817</v>
      </c>
      <c r="B726" s="14"/>
      <c r="C726" s="62" t="s">
        <v>111</v>
      </c>
      <c r="D726" s="62" t="s">
        <v>24</v>
      </c>
      <c r="E726" s="62"/>
      <c r="F726" s="62"/>
      <c r="G726" s="91">
        <f>G731</f>
        <v>178616.2</v>
      </c>
      <c r="H726" s="91">
        <f>H731+H734+H727</f>
        <v>-1884.9</v>
      </c>
      <c r="I726" s="91">
        <f t="shared" si="74"/>
        <v>176731.30000000002</v>
      </c>
      <c r="J726" s="91">
        <f>J731+J734+J727</f>
        <v>10261.4</v>
      </c>
      <c r="K726" s="91">
        <f t="shared" si="75"/>
        <v>186992.7</v>
      </c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</row>
    <row r="727" spans="1:23" ht="32.25" customHeight="1" hidden="1">
      <c r="A727" s="124" t="s">
        <v>268</v>
      </c>
      <c r="B727" s="14"/>
      <c r="C727" s="62" t="s">
        <v>111</v>
      </c>
      <c r="D727" s="62" t="s">
        <v>24</v>
      </c>
      <c r="E727" s="62" t="s">
        <v>483</v>
      </c>
      <c r="F727" s="62"/>
      <c r="G727" s="91"/>
      <c r="H727" s="91">
        <f aca="true" t="shared" si="77" ref="H727:J729">H728</f>
        <v>0</v>
      </c>
      <c r="I727" s="91">
        <f t="shared" si="74"/>
        <v>0</v>
      </c>
      <c r="J727" s="91">
        <f t="shared" si="77"/>
        <v>0</v>
      </c>
      <c r="K727" s="91">
        <f t="shared" si="75"/>
        <v>0</v>
      </c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</row>
    <row r="728" spans="1:23" ht="18.75" customHeight="1" hidden="1">
      <c r="A728" s="124" t="s">
        <v>199</v>
      </c>
      <c r="B728" s="14"/>
      <c r="C728" s="62" t="s">
        <v>111</v>
      </c>
      <c r="D728" s="62" t="s">
        <v>24</v>
      </c>
      <c r="E728" s="62" t="s">
        <v>33</v>
      </c>
      <c r="F728" s="62"/>
      <c r="G728" s="91"/>
      <c r="H728" s="91">
        <f t="shared" si="77"/>
        <v>0</v>
      </c>
      <c r="I728" s="91">
        <f t="shared" si="74"/>
        <v>0</v>
      </c>
      <c r="J728" s="91">
        <f t="shared" si="77"/>
        <v>0</v>
      </c>
      <c r="K728" s="91">
        <f t="shared" si="75"/>
        <v>0</v>
      </c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</row>
    <row r="729" spans="1:23" ht="33.75" customHeight="1" hidden="1">
      <c r="A729" s="135" t="s">
        <v>829</v>
      </c>
      <c r="B729" s="14"/>
      <c r="C729" s="62" t="s">
        <v>111</v>
      </c>
      <c r="D729" s="62" t="s">
        <v>24</v>
      </c>
      <c r="E729" s="67" t="s">
        <v>320</v>
      </c>
      <c r="F729" s="67"/>
      <c r="G729" s="91"/>
      <c r="H729" s="91">
        <f t="shared" si="77"/>
        <v>0</v>
      </c>
      <c r="I729" s="91">
        <f t="shared" si="74"/>
        <v>0</v>
      </c>
      <c r="J729" s="91">
        <f t="shared" si="77"/>
        <v>0</v>
      </c>
      <c r="K729" s="91">
        <f t="shared" si="75"/>
        <v>0</v>
      </c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</row>
    <row r="730" spans="1:23" ht="18.75" customHeight="1" hidden="1">
      <c r="A730" s="135" t="s">
        <v>763</v>
      </c>
      <c r="B730" s="14"/>
      <c r="C730" s="62" t="s">
        <v>111</v>
      </c>
      <c r="D730" s="62" t="s">
        <v>24</v>
      </c>
      <c r="E730" s="67" t="s">
        <v>320</v>
      </c>
      <c r="F730" s="67" t="s">
        <v>49</v>
      </c>
      <c r="G730" s="91"/>
      <c r="H730" s="91"/>
      <c r="I730" s="91">
        <f t="shared" si="74"/>
        <v>0</v>
      </c>
      <c r="J730" s="91"/>
      <c r="K730" s="91">
        <f t="shared" si="75"/>
        <v>0</v>
      </c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</row>
    <row r="731" spans="1:23" ht="18.75" customHeight="1">
      <c r="A731" s="121" t="s">
        <v>818</v>
      </c>
      <c r="B731" s="14">
        <v>809</v>
      </c>
      <c r="C731" s="62" t="s">
        <v>111</v>
      </c>
      <c r="D731" s="62" t="s">
        <v>24</v>
      </c>
      <c r="E731" s="62" t="s">
        <v>252</v>
      </c>
      <c r="F731" s="62"/>
      <c r="G731" s="91">
        <f>G732+G734</f>
        <v>178616.2</v>
      </c>
      <c r="H731" s="91">
        <f>H732</f>
        <v>115.1</v>
      </c>
      <c r="I731" s="91">
        <f t="shared" si="74"/>
        <v>178731.30000000002</v>
      </c>
      <c r="J731" s="91">
        <f>J732</f>
        <v>10442.8</v>
      </c>
      <c r="K731" s="91">
        <f t="shared" si="75"/>
        <v>189174.1</v>
      </c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</row>
    <row r="732" spans="1:23" ht="32.25" customHeight="1">
      <c r="A732" s="123" t="s">
        <v>819</v>
      </c>
      <c r="B732" s="14">
        <v>809</v>
      </c>
      <c r="C732" s="62" t="s">
        <v>111</v>
      </c>
      <c r="D732" s="62" t="s">
        <v>24</v>
      </c>
      <c r="E732" s="62" t="s">
        <v>253</v>
      </c>
      <c r="F732" s="62"/>
      <c r="G732" s="91">
        <f>G733</f>
        <v>164698</v>
      </c>
      <c r="H732" s="91">
        <f>H733</f>
        <v>115.1</v>
      </c>
      <c r="I732" s="91">
        <f t="shared" si="74"/>
        <v>164813.1</v>
      </c>
      <c r="J732" s="91">
        <f>J733</f>
        <v>10442.8</v>
      </c>
      <c r="K732" s="91">
        <f t="shared" si="75"/>
        <v>175255.9</v>
      </c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</row>
    <row r="733" spans="1:23" ht="18.75" customHeight="1">
      <c r="A733" s="123" t="s">
        <v>63</v>
      </c>
      <c r="B733" s="14">
        <v>809</v>
      </c>
      <c r="C733" s="62" t="s">
        <v>111</v>
      </c>
      <c r="D733" s="62" t="s">
        <v>24</v>
      </c>
      <c r="E733" s="62" t="s">
        <v>253</v>
      </c>
      <c r="F733" s="62" t="s">
        <v>660</v>
      </c>
      <c r="G733" s="91">
        <f>'прил.8'!G762</f>
        <v>164698</v>
      </c>
      <c r="H733" s="91">
        <f>'прил.8'!H762</f>
        <v>115.1</v>
      </c>
      <c r="I733" s="91">
        <f t="shared" si="74"/>
        <v>164813.1</v>
      </c>
      <c r="J733" s="91">
        <f>'прил.8'!J762</f>
        <v>10442.8</v>
      </c>
      <c r="K733" s="91">
        <f t="shared" si="75"/>
        <v>175255.9</v>
      </c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</row>
    <row r="734" spans="1:23" ht="18.75" customHeight="1">
      <c r="A734" s="121" t="s">
        <v>473</v>
      </c>
      <c r="B734" s="14">
        <v>809</v>
      </c>
      <c r="C734" s="62" t="s">
        <v>111</v>
      </c>
      <c r="D734" s="62" t="s">
        <v>24</v>
      </c>
      <c r="E734" s="62" t="s">
        <v>433</v>
      </c>
      <c r="F734" s="62"/>
      <c r="G734" s="91">
        <f>G735+G737</f>
        <v>13918.199999999999</v>
      </c>
      <c r="H734" s="91">
        <f>H735+H737</f>
        <v>-2000</v>
      </c>
      <c r="I734" s="91">
        <f t="shared" si="74"/>
        <v>11918.199999999999</v>
      </c>
      <c r="J734" s="91">
        <f>J735+J737</f>
        <v>-181.4000000000001</v>
      </c>
      <c r="K734" s="91">
        <f t="shared" si="75"/>
        <v>11736.8</v>
      </c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</row>
    <row r="735" spans="1:23" ht="18.75" customHeight="1">
      <c r="A735" s="121" t="s">
        <v>279</v>
      </c>
      <c r="B735" s="68">
        <v>809</v>
      </c>
      <c r="C735" s="57" t="s">
        <v>111</v>
      </c>
      <c r="D735" s="57" t="s">
        <v>24</v>
      </c>
      <c r="E735" s="57" t="s">
        <v>446</v>
      </c>
      <c r="F735" s="57"/>
      <c r="G735" s="91">
        <f>G736</f>
        <v>1045.3</v>
      </c>
      <c r="H735" s="91">
        <f>H736</f>
        <v>0</v>
      </c>
      <c r="I735" s="91">
        <f t="shared" si="74"/>
        <v>1045.3</v>
      </c>
      <c r="J735" s="91">
        <f>J736</f>
        <v>15</v>
      </c>
      <c r="K735" s="91">
        <f t="shared" si="75"/>
        <v>1060.3</v>
      </c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</row>
    <row r="736" spans="1:23" ht="23.25" customHeight="1">
      <c r="A736" s="145" t="s">
        <v>63</v>
      </c>
      <c r="B736" s="68">
        <v>809</v>
      </c>
      <c r="C736" s="57" t="s">
        <v>111</v>
      </c>
      <c r="D736" s="57" t="s">
        <v>24</v>
      </c>
      <c r="E736" s="57" t="s">
        <v>446</v>
      </c>
      <c r="F736" s="57" t="s">
        <v>660</v>
      </c>
      <c r="G736" s="91">
        <f>'прил.8'!G770</f>
        <v>1045.3</v>
      </c>
      <c r="H736" s="91">
        <f>'прил.8'!H770</f>
        <v>0</v>
      </c>
      <c r="I736" s="91">
        <f t="shared" si="74"/>
        <v>1045.3</v>
      </c>
      <c r="J736" s="91">
        <f>'прил.8'!J770</f>
        <v>15</v>
      </c>
      <c r="K736" s="91">
        <f t="shared" si="75"/>
        <v>1060.3</v>
      </c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</row>
    <row r="737" spans="1:23" ht="18.75" customHeight="1">
      <c r="A737" s="121" t="s">
        <v>820</v>
      </c>
      <c r="B737" s="68">
        <v>809</v>
      </c>
      <c r="C737" s="57" t="s">
        <v>111</v>
      </c>
      <c r="D737" s="57" t="s">
        <v>24</v>
      </c>
      <c r="E737" s="57" t="s">
        <v>440</v>
      </c>
      <c r="F737" s="57"/>
      <c r="G737" s="91">
        <f>SUM(G738:G739)</f>
        <v>12872.9</v>
      </c>
      <c r="H737" s="91">
        <f>SUM(H738:H739)</f>
        <v>-2000</v>
      </c>
      <c r="I737" s="91">
        <f t="shared" si="74"/>
        <v>10872.9</v>
      </c>
      <c r="J737" s="91">
        <f>SUM(J738:J739)</f>
        <v>-196.4000000000001</v>
      </c>
      <c r="K737" s="91">
        <f t="shared" si="75"/>
        <v>10676.5</v>
      </c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</row>
    <row r="738" spans="1:23" ht="18.75" customHeight="1">
      <c r="A738" s="127" t="s">
        <v>733</v>
      </c>
      <c r="B738" s="68"/>
      <c r="C738" s="57" t="s">
        <v>111</v>
      </c>
      <c r="D738" s="57" t="s">
        <v>24</v>
      </c>
      <c r="E738" s="57" t="s">
        <v>440</v>
      </c>
      <c r="F738" s="57" t="s">
        <v>318</v>
      </c>
      <c r="G738" s="91">
        <f>'прил.8'!G772</f>
        <v>5500</v>
      </c>
      <c r="H738" s="91">
        <f>'прил.8'!H772</f>
        <v>-2000</v>
      </c>
      <c r="I738" s="91">
        <f t="shared" si="74"/>
        <v>3500</v>
      </c>
      <c r="J738" s="91">
        <f>'прил.8'!J772</f>
        <v>850</v>
      </c>
      <c r="K738" s="91">
        <f t="shared" si="75"/>
        <v>4350</v>
      </c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</row>
    <row r="739" spans="1:23" ht="21.75" customHeight="1">
      <c r="A739" s="145" t="s">
        <v>63</v>
      </c>
      <c r="B739" s="68">
        <v>809</v>
      </c>
      <c r="C739" s="57" t="s">
        <v>111</v>
      </c>
      <c r="D739" s="57" t="s">
        <v>24</v>
      </c>
      <c r="E739" s="57" t="s">
        <v>440</v>
      </c>
      <c r="F739" s="57" t="s">
        <v>660</v>
      </c>
      <c r="G739" s="91">
        <f>'прил.8'!G773</f>
        <v>7372.9</v>
      </c>
      <c r="H739" s="91">
        <f>'прил.8'!H773</f>
        <v>0</v>
      </c>
      <c r="I739" s="91">
        <f t="shared" si="74"/>
        <v>7372.9</v>
      </c>
      <c r="J739" s="91">
        <f>'прил.8'!J773</f>
        <v>-1046.4</v>
      </c>
      <c r="K739" s="91">
        <f t="shared" si="75"/>
        <v>6326.5</v>
      </c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</row>
    <row r="740" spans="1:23" ht="18.75" customHeight="1">
      <c r="A740" s="127" t="s">
        <v>821</v>
      </c>
      <c r="B740" s="68"/>
      <c r="C740" s="57" t="s">
        <v>111</v>
      </c>
      <c r="D740" s="57" t="s">
        <v>25</v>
      </c>
      <c r="E740" s="57"/>
      <c r="F740" s="57"/>
      <c r="G740" s="91">
        <f>G741</f>
        <v>820</v>
      </c>
      <c r="H740" s="91">
        <f>H741</f>
        <v>0</v>
      </c>
      <c r="I740" s="91">
        <f t="shared" si="74"/>
        <v>820</v>
      </c>
      <c r="J740" s="91">
        <f>J741</f>
        <v>-300</v>
      </c>
      <c r="K740" s="91">
        <f t="shared" si="75"/>
        <v>520</v>
      </c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</row>
    <row r="741" spans="1:23" ht="18.75" customHeight="1">
      <c r="A741" s="121" t="s">
        <v>818</v>
      </c>
      <c r="B741" s="68"/>
      <c r="C741" s="57" t="s">
        <v>111</v>
      </c>
      <c r="D741" s="57" t="s">
        <v>25</v>
      </c>
      <c r="E741" s="57" t="s">
        <v>252</v>
      </c>
      <c r="F741" s="57"/>
      <c r="G741" s="91">
        <f>G742</f>
        <v>820</v>
      </c>
      <c r="H741" s="91"/>
      <c r="I741" s="91">
        <f t="shared" si="74"/>
        <v>820</v>
      </c>
      <c r="J741" s="91">
        <f>J742</f>
        <v>-300</v>
      </c>
      <c r="K741" s="91">
        <f t="shared" si="75"/>
        <v>520</v>
      </c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</row>
    <row r="742" spans="1:23" ht="32.25" customHeight="1">
      <c r="A742" s="123" t="s">
        <v>819</v>
      </c>
      <c r="B742" s="68"/>
      <c r="C742" s="57" t="s">
        <v>111</v>
      </c>
      <c r="D742" s="57" t="s">
        <v>25</v>
      </c>
      <c r="E742" s="62" t="s">
        <v>253</v>
      </c>
      <c r="F742" s="57"/>
      <c r="G742" s="91">
        <f>G743</f>
        <v>820</v>
      </c>
      <c r="H742" s="91">
        <f>H743</f>
        <v>0</v>
      </c>
      <c r="I742" s="91">
        <f t="shared" si="74"/>
        <v>820</v>
      </c>
      <c r="J742" s="91">
        <f>J743</f>
        <v>-300</v>
      </c>
      <c r="K742" s="91">
        <f t="shared" si="75"/>
        <v>520</v>
      </c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</row>
    <row r="743" spans="1:23" ht="21" customHeight="1">
      <c r="A743" s="145" t="s">
        <v>63</v>
      </c>
      <c r="B743" s="68"/>
      <c r="C743" s="57" t="s">
        <v>111</v>
      </c>
      <c r="D743" s="57" t="s">
        <v>25</v>
      </c>
      <c r="E743" s="62" t="s">
        <v>253</v>
      </c>
      <c r="F743" s="57" t="s">
        <v>660</v>
      </c>
      <c r="G743" s="91">
        <f>'прил.8'!G777</f>
        <v>820</v>
      </c>
      <c r="H743" s="91">
        <f>'прил.8'!H777</f>
        <v>0</v>
      </c>
      <c r="I743" s="91">
        <f t="shared" si="74"/>
        <v>820</v>
      </c>
      <c r="J743" s="91">
        <f>'прил.8'!J777</f>
        <v>-300</v>
      </c>
      <c r="K743" s="91">
        <f t="shared" si="75"/>
        <v>520</v>
      </c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</row>
    <row r="744" spans="1:23" ht="18.75" customHeight="1">
      <c r="A744" s="127" t="s">
        <v>822</v>
      </c>
      <c r="B744" s="68"/>
      <c r="C744" s="57" t="s">
        <v>111</v>
      </c>
      <c r="D744" s="57" t="s">
        <v>26</v>
      </c>
      <c r="E744" s="62"/>
      <c r="F744" s="57"/>
      <c r="G744" s="91">
        <f>G747</f>
        <v>100000</v>
      </c>
      <c r="H744" s="91">
        <f>H747</f>
        <v>0</v>
      </c>
      <c r="I744" s="91">
        <f t="shared" si="74"/>
        <v>100000</v>
      </c>
      <c r="J744" s="91">
        <f>J747</f>
        <v>200000</v>
      </c>
      <c r="K744" s="91">
        <f t="shared" si="75"/>
        <v>300000</v>
      </c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 spans="1:23" ht="21.75" customHeight="1">
      <c r="A745" s="127" t="s">
        <v>823</v>
      </c>
      <c r="B745" s="68"/>
      <c r="C745" s="57" t="s">
        <v>111</v>
      </c>
      <c r="D745" s="57" t="s">
        <v>26</v>
      </c>
      <c r="E745" s="62" t="s">
        <v>408</v>
      </c>
      <c r="F745" s="57"/>
      <c r="G745" s="91">
        <f aca="true" t="shared" si="78" ref="G745:J747">G746</f>
        <v>100000</v>
      </c>
      <c r="H745" s="91">
        <f t="shared" si="78"/>
        <v>0</v>
      </c>
      <c r="I745" s="91">
        <f t="shared" si="74"/>
        <v>100000</v>
      </c>
      <c r="J745" s="91">
        <f t="shared" si="78"/>
        <v>200000</v>
      </c>
      <c r="K745" s="91">
        <f t="shared" si="75"/>
        <v>300000</v>
      </c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</row>
    <row r="746" spans="1:23" ht="18.75" customHeight="1">
      <c r="A746" s="127" t="s">
        <v>824</v>
      </c>
      <c r="B746" s="68"/>
      <c r="C746" s="57" t="s">
        <v>111</v>
      </c>
      <c r="D746" s="57" t="s">
        <v>26</v>
      </c>
      <c r="E746" s="62" t="s">
        <v>548</v>
      </c>
      <c r="F746" s="57"/>
      <c r="G746" s="91">
        <f t="shared" si="78"/>
        <v>100000</v>
      </c>
      <c r="H746" s="91">
        <f t="shared" si="78"/>
        <v>0</v>
      </c>
      <c r="I746" s="91">
        <f t="shared" si="74"/>
        <v>100000</v>
      </c>
      <c r="J746" s="91">
        <f t="shared" si="78"/>
        <v>200000</v>
      </c>
      <c r="K746" s="91">
        <f t="shared" si="75"/>
        <v>300000</v>
      </c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</row>
    <row r="747" spans="1:23" ht="18.75" customHeight="1">
      <c r="A747" s="120" t="s">
        <v>756</v>
      </c>
      <c r="B747" s="68"/>
      <c r="C747" s="57" t="s">
        <v>111</v>
      </c>
      <c r="D747" s="57" t="s">
        <v>26</v>
      </c>
      <c r="E747" s="62" t="s">
        <v>549</v>
      </c>
      <c r="F747" s="57"/>
      <c r="G747" s="91">
        <f t="shared" si="78"/>
        <v>100000</v>
      </c>
      <c r="H747" s="91">
        <f t="shared" si="78"/>
        <v>0</v>
      </c>
      <c r="I747" s="91">
        <f t="shared" si="74"/>
        <v>100000</v>
      </c>
      <c r="J747" s="91">
        <f t="shared" si="78"/>
        <v>200000</v>
      </c>
      <c r="K747" s="91">
        <f t="shared" si="75"/>
        <v>300000</v>
      </c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</row>
    <row r="748" spans="1:23" ht="18.75" customHeight="1">
      <c r="A748" s="127" t="s">
        <v>733</v>
      </c>
      <c r="B748" s="68"/>
      <c r="C748" s="57" t="s">
        <v>111</v>
      </c>
      <c r="D748" s="57" t="s">
        <v>26</v>
      </c>
      <c r="E748" s="62" t="s">
        <v>549</v>
      </c>
      <c r="F748" s="57" t="s">
        <v>318</v>
      </c>
      <c r="G748" s="91">
        <f>'прил.8'!G782</f>
        <v>100000</v>
      </c>
      <c r="H748" s="91">
        <f>'прил.8'!H782</f>
        <v>0</v>
      </c>
      <c r="I748" s="91">
        <f t="shared" si="74"/>
        <v>100000</v>
      </c>
      <c r="J748" s="91">
        <f>'прил.8'!J782</f>
        <v>200000</v>
      </c>
      <c r="K748" s="91">
        <f t="shared" si="75"/>
        <v>300000</v>
      </c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</row>
    <row r="749" spans="1:23" ht="18.75" customHeight="1">
      <c r="A749" s="123" t="s">
        <v>825</v>
      </c>
      <c r="B749" s="68"/>
      <c r="C749" s="57" t="s">
        <v>111</v>
      </c>
      <c r="D749" s="57" t="s">
        <v>108</v>
      </c>
      <c r="E749" s="57"/>
      <c r="F749" s="57"/>
      <c r="G749" s="91">
        <f>G750+G753</f>
        <v>6745.3</v>
      </c>
      <c r="H749" s="91">
        <f>H750+H753+H758</f>
        <v>71.6</v>
      </c>
      <c r="I749" s="91">
        <f t="shared" si="74"/>
        <v>6816.900000000001</v>
      </c>
      <c r="J749" s="91">
        <f>J750+J753+J758</f>
        <v>511</v>
      </c>
      <c r="K749" s="91">
        <f t="shared" si="75"/>
        <v>7327.900000000001</v>
      </c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</row>
    <row r="750" spans="1:23" ht="53.25" customHeight="1">
      <c r="A750" s="123" t="s">
        <v>93</v>
      </c>
      <c r="B750" s="68">
        <v>806</v>
      </c>
      <c r="C750" s="57" t="s">
        <v>111</v>
      </c>
      <c r="D750" s="57" t="s">
        <v>108</v>
      </c>
      <c r="E750" s="57" t="s">
        <v>94</v>
      </c>
      <c r="F750" s="57"/>
      <c r="G750" s="91">
        <f aca="true" t="shared" si="79" ref="G750:J751">G751</f>
        <v>2838.5</v>
      </c>
      <c r="H750" s="91">
        <f t="shared" si="79"/>
        <v>5.8</v>
      </c>
      <c r="I750" s="91">
        <f t="shared" si="74"/>
        <v>2844.3</v>
      </c>
      <c r="J750" s="91">
        <f t="shared" si="79"/>
        <v>247</v>
      </c>
      <c r="K750" s="91">
        <f t="shared" si="75"/>
        <v>3091.3</v>
      </c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</row>
    <row r="751" spans="1:23" ht="18.75" customHeight="1">
      <c r="A751" s="123" t="s">
        <v>673</v>
      </c>
      <c r="B751" s="68">
        <v>806</v>
      </c>
      <c r="C751" s="57" t="s">
        <v>111</v>
      </c>
      <c r="D751" s="57" t="s">
        <v>108</v>
      </c>
      <c r="E751" s="57" t="s">
        <v>96</v>
      </c>
      <c r="F751" s="57"/>
      <c r="G751" s="91">
        <f t="shared" si="79"/>
        <v>2838.5</v>
      </c>
      <c r="H751" s="91">
        <f t="shared" si="79"/>
        <v>5.8</v>
      </c>
      <c r="I751" s="91">
        <f t="shared" si="74"/>
        <v>2844.3</v>
      </c>
      <c r="J751" s="91">
        <f t="shared" si="79"/>
        <v>247</v>
      </c>
      <c r="K751" s="91">
        <f t="shared" si="75"/>
        <v>3091.3</v>
      </c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</row>
    <row r="752" spans="1:23" ht="18.75" customHeight="1">
      <c r="A752" s="123" t="s">
        <v>438</v>
      </c>
      <c r="B752" s="68">
        <v>806</v>
      </c>
      <c r="C752" s="57" t="s">
        <v>111</v>
      </c>
      <c r="D752" s="57" t="s">
        <v>108</v>
      </c>
      <c r="E752" s="57" t="s">
        <v>96</v>
      </c>
      <c r="F752" s="57" t="s">
        <v>277</v>
      </c>
      <c r="G752" s="91">
        <f>'прил.8'!G786</f>
        <v>2838.5</v>
      </c>
      <c r="H752" s="91">
        <f>'прил.8'!H786</f>
        <v>5.8</v>
      </c>
      <c r="I752" s="91">
        <f t="shared" si="74"/>
        <v>2844.3</v>
      </c>
      <c r="J752" s="91">
        <f>'прил.8'!J786</f>
        <v>247</v>
      </c>
      <c r="K752" s="91">
        <f t="shared" si="75"/>
        <v>3091.3</v>
      </c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</row>
    <row r="753" spans="1:23" ht="51" customHeight="1">
      <c r="A753" s="123" t="s">
        <v>783</v>
      </c>
      <c r="B753" s="68"/>
      <c r="C753" s="57" t="s">
        <v>111</v>
      </c>
      <c r="D753" s="57" t="s">
        <v>108</v>
      </c>
      <c r="E753" s="57" t="s">
        <v>648</v>
      </c>
      <c r="F753" s="57"/>
      <c r="G753" s="91">
        <f>G754+G756</f>
        <v>3906.8</v>
      </c>
      <c r="H753" s="91">
        <f>H754+H756</f>
        <v>5.8</v>
      </c>
      <c r="I753" s="91">
        <f t="shared" si="74"/>
        <v>3912.6000000000004</v>
      </c>
      <c r="J753" s="91">
        <f>J754+J756</f>
        <v>264</v>
      </c>
      <c r="K753" s="91">
        <f t="shared" si="75"/>
        <v>4176.6</v>
      </c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</row>
    <row r="754" spans="1:23" ht="18.75" customHeight="1" hidden="1">
      <c r="A754" s="121" t="s">
        <v>593</v>
      </c>
      <c r="B754" s="68"/>
      <c r="C754" s="57" t="s">
        <v>111</v>
      </c>
      <c r="D754" s="57" t="s">
        <v>108</v>
      </c>
      <c r="E754" s="57" t="s">
        <v>597</v>
      </c>
      <c r="F754" s="57"/>
      <c r="G754" s="91">
        <f>G755</f>
        <v>0</v>
      </c>
      <c r="H754" s="91">
        <f>H755</f>
        <v>0</v>
      </c>
      <c r="I754" s="91">
        <f t="shared" si="74"/>
        <v>0</v>
      </c>
      <c r="J754" s="91">
        <f>J755</f>
        <v>0</v>
      </c>
      <c r="K754" s="91">
        <f t="shared" si="75"/>
        <v>0</v>
      </c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</row>
    <row r="755" spans="1:23" ht="18.75" customHeight="1" hidden="1">
      <c r="A755" s="123" t="s">
        <v>63</v>
      </c>
      <c r="B755" s="68"/>
      <c r="C755" s="57" t="s">
        <v>111</v>
      </c>
      <c r="D755" s="57" t="s">
        <v>108</v>
      </c>
      <c r="E755" s="57" t="s">
        <v>597</v>
      </c>
      <c r="F755" s="57" t="s">
        <v>660</v>
      </c>
      <c r="G755" s="91">
        <f>'прил.8'!G789</f>
        <v>0</v>
      </c>
      <c r="H755" s="91">
        <f>'прил.8'!H789</f>
        <v>0</v>
      </c>
      <c r="I755" s="91">
        <f t="shared" si="74"/>
        <v>0</v>
      </c>
      <c r="J755" s="91">
        <f>'прил.8'!J789</f>
        <v>0</v>
      </c>
      <c r="K755" s="91">
        <f t="shared" si="75"/>
        <v>0</v>
      </c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</row>
    <row r="756" spans="1:23" ht="18.75" customHeight="1">
      <c r="A756" s="121" t="s">
        <v>655</v>
      </c>
      <c r="B756" s="68"/>
      <c r="C756" s="57" t="s">
        <v>111</v>
      </c>
      <c r="D756" s="57" t="s">
        <v>108</v>
      </c>
      <c r="E756" s="57" t="s">
        <v>649</v>
      </c>
      <c r="F756" s="57"/>
      <c r="G756" s="91">
        <f>G757</f>
        <v>3906.8</v>
      </c>
      <c r="H756" s="91">
        <f>H757</f>
        <v>5.8</v>
      </c>
      <c r="I756" s="91">
        <f t="shared" si="74"/>
        <v>3912.6000000000004</v>
      </c>
      <c r="J756" s="91">
        <f>J757</f>
        <v>264</v>
      </c>
      <c r="K756" s="91">
        <f t="shared" si="75"/>
        <v>4176.6</v>
      </c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</row>
    <row r="757" spans="1:23" ht="18.75" customHeight="1">
      <c r="A757" s="123" t="s">
        <v>63</v>
      </c>
      <c r="B757" s="68"/>
      <c r="C757" s="57" t="s">
        <v>111</v>
      </c>
      <c r="D757" s="57" t="s">
        <v>108</v>
      </c>
      <c r="E757" s="57" t="s">
        <v>649</v>
      </c>
      <c r="F757" s="57" t="s">
        <v>660</v>
      </c>
      <c r="G757" s="91">
        <f>'прил.8'!G791</f>
        <v>3906.8</v>
      </c>
      <c r="H757" s="91">
        <f>'прил.8'!H791</f>
        <v>5.8</v>
      </c>
      <c r="I757" s="91">
        <f t="shared" si="74"/>
        <v>3912.6000000000004</v>
      </c>
      <c r="J757" s="91">
        <f>'прил.8'!J791</f>
        <v>264</v>
      </c>
      <c r="K757" s="91">
        <f t="shared" si="75"/>
        <v>4176.6</v>
      </c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</row>
    <row r="758" spans="1:23" ht="32.25" customHeight="1">
      <c r="A758" s="124" t="s">
        <v>268</v>
      </c>
      <c r="B758" s="14"/>
      <c r="C758" s="62" t="s">
        <v>111</v>
      </c>
      <c r="D758" s="62" t="s">
        <v>108</v>
      </c>
      <c r="E758" s="62" t="s">
        <v>483</v>
      </c>
      <c r="F758" s="62"/>
      <c r="G758" s="91"/>
      <c r="H758" s="91">
        <f aca="true" t="shared" si="80" ref="H758:J760">H759</f>
        <v>60</v>
      </c>
      <c r="I758" s="91">
        <f t="shared" si="74"/>
        <v>60</v>
      </c>
      <c r="J758" s="91">
        <f t="shared" si="80"/>
        <v>0</v>
      </c>
      <c r="K758" s="91">
        <f t="shared" si="75"/>
        <v>60</v>
      </c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</row>
    <row r="759" spans="1:23" ht="18.75" customHeight="1">
      <c r="A759" s="124" t="s">
        <v>199</v>
      </c>
      <c r="B759" s="14"/>
      <c r="C759" s="62" t="s">
        <v>111</v>
      </c>
      <c r="D759" s="62" t="s">
        <v>108</v>
      </c>
      <c r="E759" s="62" t="s">
        <v>33</v>
      </c>
      <c r="F759" s="62"/>
      <c r="G759" s="91"/>
      <c r="H759" s="91">
        <f t="shared" si="80"/>
        <v>60</v>
      </c>
      <c r="I759" s="91">
        <f t="shared" si="74"/>
        <v>60</v>
      </c>
      <c r="J759" s="91">
        <f t="shared" si="80"/>
        <v>0</v>
      </c>
      <c r="K759" s="91">
        <f t="shared" si="75"/>
        <v>60</v>
      </c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</row>
    <row r="760" spans="1:23" ht="17.25" customHeight="1">
      <c r="A760" s="135" t="s">
        <v>829</v>
      </c>
      <c r="B760" s="14"/>
      <c r="C760" s="62" t="s">
        <v>111</v>
      </c>
      <c r="D760" s="62" t="s">
        <v>108</v>
      </c>
      <c r="E760" s="67" t="s">
        <v>320</v>
      </c>
      <c r="F760" s="67"/>
      <c r="G760" s="91"/>
      <c r="H760" s="91">
        <f t="shared" si="80"/>
        <v>60</v>
      </c>
      <c r="I760" s="91">
        <f t="shared" si="74"/>
        <v>60</v>
      </c>
      <c r="J760" s="91">
        <f t="shared" si="80"/>
        <v>0</v>
      </c>
      <c r="K760" s="91">
        <f t="shared" si="75"/>
        <v>60</v>
      </c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</row>
    <row r="761" spans="1:23" ht="18.75" customHeight="1">
      <c r="A761" s="135" t="s">
        <v>763</v>
      </c>
      <c r="B761" s="14"/>
      <c r="C761" s="62" t="s">
        <v>111</v>
      </c>
      <c r="D761" s="62" t="s">
        <v>108</v>
      </c>
      <c r="E761" s="67" t="s">
        <v>320</v>
      </c>
      <c r="F761" s="67" t="s">
        <v>49</v>
      </c>
      <c r="G761" s="91"/>
      <c r="H761" s="91">
        <f>'прил.8'!H1169</f>
        <v>60</v>
      </c>
      <c r="I761" s="91">
        <f t="shared" si="74"/>
        <v>60</v>
      </c>
      <c r="J761" s="91">
        <f>'прил.8'!J1169</f>
        <v>0</v>
      </c>
      <c r="K761" s="91">
        <f t="shared" si="75"/>
        <v>60</v>
      </c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</row>
    <row r="762" spans="1:23" ht="18.75" customHeight="1">
      <c r="A762" s="121" t="s">
        <v>612</v>
      </c>
      <c r="B762" s="68">
        <v>801</v>
      </c>
      <c r="C762" s="57" t="s">
        <v>626</v>
      </c>
      <c r="D762" s="57"/>
      <c r="E762" s="57"/>
      <c r="F762" s="57"/>
      <c r="G762" s="91">
        <f>G763</f>
        <v>32843.4</v>
      </c>
      <c r="H762" s="91">
        <f>H763</f>
        <v>15.4</v>
      </c>
      <c r="I762" s="91">
        <f t="shared" si="74"/>
        <v>32858.8</v>
      </c>
      <c r="J762" s="91">
        <f>J763</f>
        <v>11038.9</v>
      </c>
      <c r="K762" s="91">
        <f t="shared" si="75"/>
        <v>43897.700000000004</v>
      </c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</row>
    <row r="763" spans="1:23" ht="18.75" customHeight="1">
      <c r="A763" s="121" t="s">
        <v>826</v>
      </c>
      <c r="B763" s="68"/>
      <c r="C763" s="57" t="s">
        <v>626</v>
      </c>
      <c r="D763" s="57" t="s">
        <v>25</v>
      </c>
      <c r="E763" s="57"/>
      <c r="F763" s="57"/>
      <c r="G763" s="91">
        <f>G764+G769</f>
        <v>32843.4</v>
      </c>
      <c r="H763" s="91">
        <f>H764+H769</f>
        <v>15.4</v>
      </c>
      <c r="I763" s="91">
        <f t="shared" si="74"/>
        <v>32858.8</v>
      </c>
      <c r="J763" s="91">
        <f>J764+J769</f>
        <v>11038.9</v>
      </c>
      <c r="K763" s="91">
        <f t="shared" si="75"/>
        <v>43897.700000000004</v>
      </c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</row>
    <row r="764" spans="1:23" ht="31.5" customHeight="1">
      <c r="A764" s="127" t="s">
        <v>833</v>
      </c>
      <c r="B764" s="68">
        <v>801</v>
      </c>
      <c r="C764" s="57" t="s">
        <v>626</v>
      </c>
      <c r="D764" s="57" t="s">
        <v>25</v>
      </c>
      <c r="E764" s="57" t="s">
        <v>457</v>
      </c>
      <c r="F764" s="57"/>
      <c r="G764" s="91">
        <f>G765+G767</f>
        <v>32768.4</v>
      </c>
      <c r="H764" s="91">
        <f>H765+H767</f>
        <v>15.4</v>
      </c>
      <c r="I764" s="91">
        <f t="shared" si="74"/>
        <v>32783.8</v>
      </c>
      <c r="J764" s="91">
        <f>J765+J767</f>
        <v>11038.9</v>
      </c>
      <c r="K764" s="91">
        <f t="shared" si="75"/>
        <v>43822.700000000004</v>
      </c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</row>
    <row r="765" spans="1:23" ht="18.75" customHeight="1">
      <c r="A765" s="121" t="s">
        <v>677</v>
      </c>
      <c r="B765" s="68">
        <v>801</v>
      </c>
      <c r="C765" s="57" t="s">
        <v>626</v>
      </c>
      <c r="D765" s="57" t="s">
        <v>25</v>
      </c>
      <c r="E765" s="57" t="s">
        <v>622</v>
      </c>
      <c r="F765" s="57"/>
      <c r="G765" s="91">
        <f>G766</f>
        <v>25</v>
      </c>
      <c r="H765" s="91">
        <f>H766</f>
        <v>0</v>
      </c>
      <c r="I765" s="91">
        <f t="shared" si="74"/>
        <v>25</v>
      </c>
      <c r="J765" s="91">
        <f>J766</f>
        <v>0</v>
      </c>
      <c r="K765" s="91">
        <f t="shared" si="75"/>
        <v>25</v>
      </c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</row>
    <row r="766" spans="1:23" ht="18.75" customHeight="1">
      <c r="A766" s="123" t="s">
        <v>63</v>
      </c>
      <c r="B766" s="68">
        <v>801</v>
      </c>
      <c r="C766" s="57" t="s">
        <v>626</v>
      </c>
      <c r="D766" s="57" t="s">
        <v>25</v>
      </c>
      <c r="E766" s="57" t="s">
        <v>622</v>
      </c>
      <c r="F766" s="57" t="s">
        <v>660</v>
      </c>
      <c r="G766" s="91">
        <f>'прил.8'!G169</f>
        <v>25</v>
      </c>
      <c r="H766" s="91">
        <f>'прил.8'!H169</f>
        <v>0</v>
      </c>
      <c r="I766" s="91">
        <f t="shared" si="74"/>
        <v>25</v>
      </c>
      <c r="J766" s="91">
        <f>'прил.8'!J169</f>
        <v>0</v>
      </c>
      <c r="K766" s="91">
        <f t="shared" si="75"/>
        <v>25</v>
      </c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</row>
    <row r="767" spans="1:23" ht="18.75" customHeight="1">
      <c r="A767" s="123" t="s">
        <v>655</v>
      </c>
      <c r="B767" s="68">
        <v>801</v>
      </c>
      <c r="C767" s="57" t="s">
        <v>626</v>
      </c>
      <c r="D767" s="57" t="s">
        <v>25</v>
      </c>
      <c r="E767" s="57" t="s">
        <v>458</v>
      </c>
      <c r="F767" s="57"/>
      <c r="G767" s="91">
        <f>G768</f>
        <v>32743.4</v>
      </c>
      <c r="H767" s="91">
        <f>H768</f>
        <v>15.4</v>
      </c>
      <c r="I767" s="91">
        <f t="shared" si="74"/>
        <v>32758.800000000003</v>
      </c>
      <c r="J767" s="91">
        <f>J768</f>
        <v>11038.9</v>
      </c>
      <c r="K767" s="91">
        <f t="shared" si="75"/>
        <v>43797.700000000004</v>
      </c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</row>
    <row r="768" spans="1:23" ht="18.75" customHeight="1">
      <c r="A768" s="123" t="s">
        <v>63</v>
      </c>
      <c r="B768" s="68">
        <v>801</v>
      </c>
      <c r="C768" s="57" t="s">
        <v>626</v>
      </c>
      <c r="D768" s="57" t="s">
        <v>25</v>
      </c>
      <c r="E768" s="57" t="s">
        <v>458</v>
      </c>
      <c r="F768" s="57" t="s">
        <v>660</v>
      </c>
      <c r="G768" s="91">
        <f>'прил.8'!G171</f>
        <v>32743.4</v>
      </c>
      <c r="H768" s="91">
        <f>'прил.8'!H171</f>
        <v>15.4</v>
      </c>
      <c r="I768" s="91">
        <f t="shared" si="74"/>
        <v>32758.800000000003</v>
      </c>
      <c r="J768" s="91">
        <f>'прил.8'!J171</f>
        <v>11038.9</v>
      </c>
      <c r="K768" s="91">
        <f t="shared" si="75"/>
        <v>43797.700000000004</v>
      </c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</row>
    <row r="769" spans="1:23" ht="18.75" customHeight="1">
      <c r="A769" s="146" t="s">
        <v>441</v>
      </c>
      <c r="B769" s="68"/>
      <c r="C769" s="67" t="s">
        <v>626</v>
      </c>
      <c r="D769" s="67" t="s">
        <v>25</v>
      </c>
      <c r="E769" s="67" t="s">
        <v>433</v>
      </c>
      <c r="F769" s="67"/>
      <c r="G769" s="91">
        <f aca="true" t="shared" si="81" ref="G769:J771">G770</f>
        <v>75</v>
      </c>
      <c r="H769" s="91">
        <f t="shared" si="81"/>
        <v>0</v>
      </c>
      <c r="I769" s="91">
        <f t="shared" si="74"/>
        <v>75</v>
      </c>
      <c r="J769" s="91">
        <f t="shared" si="81"/>
        <v>0</v>
      </c>
      <c r="K769" s="91">
        <f t="shared" si="75"/>
        <v>75</v>
      </c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</row>
    <row r="770" spans="1:23" ht="18.75" customHeight="1">
      <c r="A770" s="146" t="s">
        <v>470</v>
      </c>
      <c r="B770" s="68"/>
      <c r="C770" s="67" t="s">
        <v>626</v>
      </c>
      <c r="D770" s="67" t="s">
        <v>25</v>
      </c>
      <c r="E770" s="67" t="s">
        <v>434</v>
      </c>
      <c r="F770" s="67"/>
      <c r="G770" s="91">
        <f t="shared" si="81"/>
        <v>75</v>
      </c>
      <c r="H770" s="91">
        <f t="shared" si="81"/>
        <v>0</v>
      </c>
      <c r="I770" s="91">
        <f t="shared" si="74"/>
        <v>75</v>
      </c>
      <c r="J770" s="91">
        <f t="shared" si="81"/>
        <v>0</v>
      </c>
      <c r="K770" s="91">
        <f t="shared" si="75"/>
        <v>75</v>
      </c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</row>
    <row r="771" spans="1:23" ht="37.5" customHeight="1">
      <c r="A771" s="120" t="s">
        <v>451</v>
      </c>
      <c r="B771" s="68"/>
      <c r="C771" s="67" t="s">
        <v>626</v>
      </c>
      <c r="D771" s="67" t="s">
        <v>25</v>
      </c>
      <c r="E771" s="67" t="s">
        <v>449</v>
      </c>
      <c r="F771" s="67"/>
      <c r="G771" s="91">
        <f t="shared" si="81"/>
        <v>75</v>
      </c>
      <c r="H771" s="91">
        <f t="shared" si="81"/>
        <v>0</v>
      </c>
      <c r="I771" s="91">
        <f aca="true" t="shared" si="82" ref="I771:I778">G771+H771</f>
        <v>75</v>
      </c>
      <c r="J771" s="91">
        <f t="shared" si="81"/>
        <v>0</v>
      </c>
      <c r="K771" s="91">
        <f aca="true" t="shared" si="83" ref="K771:K778">I771+J771</f>
        <v>75</v>
      </c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</row>
    <row r="772" spans="1:23" ht="18.75" customHeight="1">
      <c r="A772" s="120" t="s">
        <v>438</v>
      </c>
      <c r="B772" s="68"/>
      <c r="C772" s="67" t="s">
        <v>626</v>
      </c>
      <c r="D772" s="67" t="s">
        <v>25</v>
      </c>
      <c r="E772" s="67" t="s">
        <v>449</v>
      </c>
      <c r="F772" s="67" t="s">
        <v>277</v>
      </c>
      <c r="G772" s="91">
        <f>'прил.8'!G175</f>
        <v>75</v>
      </c>
      <c r="H772" s="91">
        <f>'прил.8'!H175</f>
        <v>0</v>
      </c>
      <c r="I772" s="91">
        <f t="shared" si="82"/>
        <v>75</v>
      </c>
      <c r="J772" s="91">
        <f>'прил.8'!J175</f>
        <v>0</v>
      </c>
      <c r="K772" s="91">
        <f t="shared" si="83"/>
        <v>75</v>
      </c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</row>
    <row r="773" spans="1:23" ht="31.5" customHeight="1">
      <c r="A773" s="121" t="s">
        <v>613</v>
      </c>
      <c r="B773" s="58"/>
      <c r="C773" s="57" t="s">
        <v>606</v>
      </c>
      <c r="D773" s="57"/>
      <c r="E773" s="57"/>
      <c r="F773" s="57"/>
      <c r="G773" s="91">
        <f>G775</f>
        <v>26875</v>
      </c>
      <c r="H773" s="91">
        <f>H775</f>
        <v>0</v>
      </c>
      <c r="I773" s="91">
        <f t="shared" si="82"/>
        <v>26875</v>
      </c>
      <c r="J773" s="91">
        <f>J775</f>
        <v>0</v>
      </c>
      <c r="K773" s="91">
        <f t="shared" si="83"/>
        <v>26875</v>
      </c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</row>
    <row r="774" spans="1:23" ht="18.75" customHeight="1">
      <c r="A774" s="121" t="s">
        <v>834</v>
      </c>
      <c r="B774" s="58"/>
      <c r="C774" s="57" t="s">
        <v>606</v>
      </c>
      <c r="D774" s="57" t="s">
        <v>24</v>
      </c>
      <c r="E774" s="57"/>
      <c r="F774" s="57"/>
      <c r="G774" s="91">
        <f aca="true" t="shared" si="84" ref="G774:J776">G775</f>
        <v>26875</v>
      </c>
      <c r="H774" s="91">
        <f t="shared" si="84"/>
        <v>0</v>
      </c>
      <c r="I774" s="91">
        <f t="shared" si="82"/>
        <v>26875</v>
      </c>
      <c r="J774" s="91">
        <f t="shared" si="84"/>
        <v>0</v>
      </c>
      <c r="K774" s="91">
        <f t="shared" si="83"/>
        <v>26875</v>
      </c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</row>
    <row r="775" spans="1:23" ht="18.75" customHeight="1">
      <c r="A775" s="121" t="s">
        <v>835</v>
      </c>
      <c r="B775" s="58"/>
      <c r="C775" s="57" t="s">
        <v>606</v>
      </c>
      <c r="D775" s="57" t="s">
        <v>24</v>
      </c>
      <c r="E775" s="57" t="s">
        <v>224</v>
      </c>
      <c r="F775" s="57"/>
      <c r="G775" s="91">
        <f t="shared" si="84"/>
        <v>26875</v>
      </c>
      <c r="H775" s="91">
        <f t="shared" si="84"/>
        <v>0</v>
      </c>
      <c r="I775" s="91">
        <f t="shared" si="82"/>
        <v>26875</v>
      </c>
      <c r="J775" s="91">
        <f t="shared" si="84"/>
        <v>0</v>
      </c>
      <c r="K775" s="91">
        <f t="shared" si="83"/>
        <v>26875</v>
      </c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</row>
    <row r="776" spans="1:23" ht="18.75" customHeight="1">
      <c r="A776" s="123" t="s">
        <v>226</v>
      </c>
      <c r="B776" s="66"/>
      <c r="C776" s="57" t="s">
        <v>606</v>
      </c>
      <c r="D776" s="57" t="s">
        <v>24</v>
      </c>
      <c r="E776" s="57" t="s">
        <v>225</v>
      </c>
      <c r="F776" s="57"/>
      <c r="G776" s="91">
        <f t="shared" si="84"/>
        <v>26875</v>
      </c>
      <c r="H776" s="91">
        <f t="shared" si="84"/>
        <v>0</v>
      </c>
      <c r="I776" s="91">
        <f t="shared" si="82"/>
        <v>26875</v>
      </c>
      <c r="J776" s="91">
        <f t="shared" si="84"/>
        <v>0</v>
      </c>
      <c r="K776" s="91">
        <f t="shared" si="83"/>
        <v>26875</v>
      </c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</row>
    <row r="777" spans="1:23" ht="18.75" customHeight="1">
      <c r="A777" s="121" t="s">
        <v>227</v>
      </c>
      <c r="B777" s="58"/>
      <c r="C777" s="57" t="s">
        <v>606</v>
      </c>
      <c r="D777" s="57" t="s">
        <v>24</v>
      </c>
      <c r="E777" s="57" t="s">
        <v>225</v>
      </c>
      <c r="F777" s="57" t="s">
        <v>652</v>
      </c>
      <c r="G777" s="91">
        <f>'прил.8'!G607</f>
        <v>26875</v>
      </c>
      <c r="H777" s="91">
        <f>'прил.8'!H607</f>
        <v>0</v>
      </c>
      <c r="I777" s="91">
        <f t="shared" si="82"/>
        <v>26875</v>
      </c>
      <c r="J777" s="91">
        <f>'прил.8'!J607</f>
        <v>0</v>
      </c>
      <c r="K777" s="91">
        <f t="shared" si="83"/>
        <v>26875</v>
      </c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</row>
    <row r="778" spans="1:23" ht="17.25" customHeight="1">
      <c r="A778" s="127" t="s">
        <v>15</v>
      </c>
      <c r="B778" s="64"/>
      <c r="C778" s="57"/>
      <c r="D778" s="57"/>
      <c r="E778" s="57"/>
      <c r="F778" s="57"/>
      <c r="G778" s="91">
        <f>G18+G100+G126+G172+G287+G305+G455+G520+G619+G725+G762+G773</f>
        <v>5997705.400000002</v>
      </c>
      <c r="H778" s="91">
        <f>H18+H100+H126+H172+H287+H305+H455+H520+H619+H725+H762+H773</f>
        <v>29352.200000000015</v>
      </c>
      <c r="I778" s="91">
        <f t="shared" si="82"/>
        <v>6027057.600000002</v>
      </c>
      <c r="J778" s="91">
        <f>J18+J100+J126+J172+J287+J305+J455+J520+J619+J725+J762+J773</f>
        <v>638149.6</v>
      </c>
      <c r="K778" s="91">
        <f t="shared" si="83"/>
        <v>6665207.200000002</v>
      </c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</row>
    <row r="779" spans="1:23" ht="17.25" customHeight="1" hidden="1">
      <c r="A779" s="147" t="s">
        <v>73</v>
      </c>
      <c r="B779" s="32"/>
      <c r="C779" s="6"/>
      <c r="D779" s="6"/>
      <c r="E779" s="6"/>
      <c r="F779" s="6"/>
      <c r="G779" s="91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</row>
    <row r="780" spans="1:23" ht="17.25" customHeight="1" hidden="1">
      <c r="A780" s="147" t="s">
        <v>74</v>
      </c>
      <c r="B780" s="32"/>
      <c r="C780" s="6"/>
      <c r="D780" s="6"/>
      <c r="E780" s="6"/>
      <c r="F780" s="6"/>
      <c r="G780" s="91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</row>
    <row r="781" spans="1:23" ht="12" customHeight="1">
      <c r="A781" s="148"/>
      <c r="G781" s="98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</row>
    <row r="782" spans="7:23" ht="3.75" customHeight="1" hidden="1">
      <c r="G782" s="7">
        <f>G778-'прил.8'!G1184</f>
        <v>0</v>
      </c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</row>
    <row r="783" spans="8:23" ht="12.75" hidden="1"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</row>
    <row r="784" spans="8:23" ht="12.75" hidden="1"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</row>
    <row r="785" spans="8:23" ht="12.75" hidden="1"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</row>
    <row r="786" spans="7:23" ht="12.75" hidden="1">
      <c r="G786" s="7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</row>
    <row r="787" spans="7:23" ht="12.75" hidden="1">
      <c r="G787" s="7">
        <f>G22+G26+G28+G30+G34+G48+G286+G295+G399+G496+G580+G697+G752+G147</f>
        <v>280571.3</v>
      </c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</row>
    <row r="788" spans="7:23" ht="12.75" hidden="1">
      <c r="G788" s="7">
        <f>280722.6-G787</f>
        <v>151.29999999998836</v>
      </c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</row>
    <row r="789" spans="8:23" ht="12.75" hidden="1"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</row>
    <row r="790" spans="8:23" ht="12.75" hidden="1"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</row>
    <row r="791" spans="8:23" ht="12.75" hidden="1"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</row>
    <row r="792" spans="8:23" ht="12.75" hidden="1"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</row>
    <row r="793" spans="5:23" ht="16.5" hidden="1">
      <c r="E793" s="5" t="s">
        <v>446</v>
      </c>
      <c r="G793" s="7">
        <f>G735+G720+G615+G514+G446+G121+G96+G394</f>
        <v>7440.299999999999</v>
      </c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</row>
    <row r="794" spans="5:23" ht="16.5" hidden="1">
      <c r="E794" s="5" t="s">
        <v>442</v>
      </c>
      <c r="G794" s="7">
        <f>G617+G517+G449+G303</f>
        <v>9998.5</v>
      </c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</row>
    <row r="795" spans="5:23" ht="16.5" hidden="1">
      <c r="E795" s="5" t="s">
        <v>440</v>
      </c>
      <c r="G795" s="7">
        <f>G737+G450</f>
        <v>25060.6</v>
      </c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</row>
    <row r="796" ht="12.75" hidden="1">
      <c r="G796">
        <v>1</v>
      </c>
    </row>
    <row r="798" spans="8:10" ht="12.75">
      <c r="H798" s="7"/>
      <c r="I798" s="7"/>
      <c r="J798" s="7"/>
    </row>
    <row r="799" spans="10:11" ht="12.75">
      <c r="J799" s="7">
        <f>J778-'прил.8'!J1184</f>
        <v>0</v>
      </c>
      <c r="K799" s="7"/>
    </row>
    <row r="800" spans="8:11" ht="12.75">
      <c r="H800" s="7"/>
      <c r="I800" s="7"/>
      <c r="J800" s="7"/>
      <c r="K800" s="7"/>
    </row>
  </sheetData>
  <mergeCells count="2">
    <mergeCell ref="A12:G12"/>
    <mergeCell ref="A11:G11"/>
  </mergeCells>
  <printOptions/>
  <pageMargins left="1.3779527559055118" right="0.3937007874015748" top="0.7874015748031497" bottom="0.3937007874015748" header="0.3937007874015748" footer="0.4330708661417323"/>
  <pageSetup fitToHeight="23" horizontalDpi="600" verticalDpi="600" orientation="portrait" paperSize="9" scale="54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V1216"/>
  <sheetViews>
    <sheetView showZeros="0" tabSelected="1" view="pageBreakPreview" zoomScale="70" zoomScaleNormal="75" zoomScaleSheetLayoutView="70" workbookViewId="0" topLeftCell="A829">
      <selection activeCell="A838" sqref="A838"/>
    </sheetView>
  </sheetViews>
  <sheetFormatPr defaultColWidth="9.00390625" defaultRowHeight="12.75"/>
  <cols>
    <col min="1" max="1" width="80.00390625" style="35" customWidth="1"/>
    <col min="2" max="2" width="10.25390625" style="35" customWidth="1"/>
    <col min="3" max="3" width="9.00390625" style="35" customWidth="1"/>
    <col min="4" max="4" width="9.625" style="35" customWidth="1"/>
    <col min="5" max="5" width="11.75390625" style="35" customWidth="1"/>
    <col min="6" max="6" width="10.25390625" style="35" customWidth="1"/>
    <col min="7" max="7" width="13.625" style="35" hidden="1" customWidth="1"/>
    <col min="8" max="10" width="13.125" style="35" hidden="1" customWidth="1"/>
    <col min="11" max="11" width="18.875" style="35" customWidth="1"/>
    <col min="12" max="12" width="15.375" style="35" customWidth="1"/>
    <col min="13" max="13" width="60.875" style="35" customWidth="1"/>
    <col min="14" max="15" width="10.75390625" style="35" bestFit="1" customWidth="1"/>
    <col min="16" max="16384" width="9.125" style="35" customWidth="1"/>
  </cols>
  <sheetData>
    <row r="1" ht="12.75"/>
    <row r="2" spans="5:10" ht="16.5">
      <c r="E2" s="36"/>
      <c r="F2" s="36" t="s">
        <v>327</v>
      </c>
      <c r="H2" s="36"/>
      <c r="I2" s="36"/>
      <c r="J2" s="36"/>
    </row>
    <row r="3" spans="5:26" ht="16.5">
      <c r="E3" s="36"/>
      <c r="F3" s="36" t="s">
        <v>238</v>
      </c>
      <c r="G3" s="38"/>
      <c r="H3" s="36"/>
      <c r="I3" s="36"/>
      <c r="J3" s="36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5:26" ht="16.5">
      <c r="E4" s="36"/>
      <c r="F4" s="36" t="s">
        <v>236</v>
      </c>
      <c r="G4" s="38"/>
      <c r="H4" s="36"/>
      <c r="I4" s="36"/>
      <c r="J4" s="36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5:26" ht="16.5">
      <c r="E5" s="36"/>
      <c r="F5" s="36" t="s">
        <v>504</v>
      </c>
      <c r="G5" s="38"/>
      <c r="H5" s="36"/>
      <c r="I5" s="36"/>
      <c r="J5" s="36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5:26" ht="16.5">
      <c r="E6" s="36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5:26" ht="16.5">
      <c r="E7" s="36"/>
      <c r="F7" s="51" t="s">
        <v>190</v>
      </c>
      <c r="G7" s="51"/>
      <c r="H7" s="51"/>
      <c r="I7" s="51"/>
      <c r="J7" s="51"/>
      <c r="K7" s="51"/>
      <c r="L7" s="51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5:26" ht="16.5">
      <c r="E8" s="36"/>
      <c r="F8" s="51" t="s">
        <v>238</v>
      </c>
      <c r="G8" s="51"/>
      <c r="H8" s="51"/>
      <c r="I8" s="51"/>
      <c r="J8" s="51"/>
      <c r="K8" s="51"/>
      <c r="L8" s="51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5:26" ht="16.5">
      <c r="E9" s="36"/>
      <c r="F9" s="51" t="s">
        <v>236</v>
      </c>
      <c r="G9" s="51"/>
      <c r="H9" s="51"/>
      <c r="I9" s="51"/>
      <c r="J9" s="51"/>
      <c r="K9" s="51"/>
      <c r="L9" s="51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5:26" ht="16.5">
      <c r="E10" s="36"/>
      <c r="F10" s="36" t="s">
        <v>1</v>
      </c>
      <c r="G10" s="51"/>
      <c r="H10" s="36"/>
      <c r="I10" s="36"/>
      <c r="J10" s="36"/>
      <c r="K10" s="51"/>
      <c r="L10" s="51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6:26" ht="16.5">
      <c r="F11" s="36"/>
      <c r="G11" s="36"/>
      <c r="H11" s="51"/>
      <c r="I11" s="51"/>
      <c r="J11" s="51"/>
      <c r="K11" s="51"/>
      <c r="L11" s="51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24" customHeight="1">
      <c r="A12" s="172" t="s">
        <v>335</v>
      </c>
      <c r="B12" s="172"/>
      <c r="C12" s="172"/>
      <c r="D12" s="172"/>
      <c r="E12" s="172"/>
      <c r="F12" s="172"/>
      <c r="G12" s="172"/>
      <c r="H12" s="51"/>
      <c r="I12" s="51"/>
      <c r="J12" s="51"/>
      <c r="K12" s="51"/>
      <c r="L12" s="51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8" customHeight="1">
      <c r="A13" s="170" t="s">
        <v>525</v>
      </c>
      <c r="B13" s="170"/>
      <c r="C13" s="170"/>
      <c r="D13" s="170"/>
      <c r="E13" s="170"/>
      <c r="F13" s="171"/>
      <c r="G13" s="171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6.5">
      <c r="A14" s="169" t="s">
        <v>508</v>
      </c>
      <c r="B14" s="163"/>
      <c r="C14" s="163"/>
      <c r="D14" s="163"/>
      <c r="E14" s="163"/>
      <c r="F14" s="163"/>
      <c r="G14" s="163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6.5">
      <c r="A15" s="41"/>
      <c r="B15" s="41"/>
      <c r="C15" s="42"/>
      <c r="D15" s="42"/>
      <c r="E15" s="42"/>
      <c r="F15" s="42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6.5">
      <c r="A16" s="43"/>
      <c r="B16" s="42"/>
      <c r="C16" s="42"/>
      <c r="D16" s="42"/>
      <c r="E16" s="42"/>
      <c r="F16" s="42"/>
      <c r="G16" s="34"/>
      <c r="H16" s="44"/>
      <c r="I16" s="44"/>
      <c r="J16" s="44"/>
      <c r="K16" s="34" t="s">
        <v>604</v>
      </c>
      <c r="L16" s="34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s="40" customFormat="1" ht="48.75" customHeight="1">
      <c r="A17" s="30" t="s">
        <v>20</v>
      </c>
      <c r="B17" s="31" t="s">
        <v>642</v>
      </c>
      <c r="C17" s="29" t="s">
        <v>21</v>
      </c>
      <c r="D17" s="29" t="s">
        <v>114</v>
      </c>
      <c r="E17" s="29" t="s">
        <v>115</v>
      </c>
      <c r="F17" s="29" t="s">
        <v>116</v>
      </c>
      <c r="G17" s="29" t="s">
        <v>17</v>
      </c>
      <c r="H17" s="29" t="s">
        <v>16</v>
      </c>
      <c r="I17" s="29" t="s">
        <v>413</v>
      </c>
      <c r="J17" s="29" t="s">
        <v>16</v>
      </c>
      <c r="K17" s="29" t="s">
        <v>436</v>
      </c>
      <c r="L17" s="10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8.75" customHeight="1">
      <c r="A18" s="149" t="s">
        <v>148</v>
      </c>
      <c r="B18" s="78">
        <v>801</v>
      </c>
      <c r="C18" s="67"/>
      <c r="D18" s="67"/>
      <c r="E18" s="67"/>
      <c r="F18" s="67"/>
      <c r="G18" s="96">
        <f>SUM(G19,G69,G83,G117,G133,G143,G165)</f>
        <v>356811.00000000006</v>
      </c>
      <c r="H18" s="99">
        <f>SUM(H19,H69,H83,H117,H133,H143,H165)</f>
        <v>4068.2999999999997</v>
      </c>
      <c r="I18" s="99">
        <f>H18+G18</f>
        <v>360879.30000000005</v>
      </c>
      <c r="J18" s="99">
        <f>SUM(J19,J69,J83,J117,J133,J143,J165)</f>
        <v>92334.7</v>
      </c>
      <c r="K18" s="96">
        <f aca="true" t="shared" si="0" ref="K18:K81">I18+J18</f>
        <v>453214.00000000006</v>
      </c>
      <c r="L18" s="106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8" customHeight="1">
      <c r="A19" s="149" t="s">
        <v>65</v>
      </c>
      <c r="B19" s="78">
        <v>801</v>
      </c>
      <c r="C19" s="67" t="s">
        <v>24</v>
      </c>
      <c r="D19" s="67"/>
      <c r="E19" s="67"/>
      <c r="F19" s="67"/>
      <c r="G19" s="96">
        <f>SUM(G20,G24,G35,G42,G38)</f>
        <v>199973.30000000002</v>
      </c>
      <c r="H19" s="99">
        <f>SUM(H20,H24,H35,H42,H38)</f>
        <v>-763.4000000000001</v>
      </c>
      <c r="I19" s="99">
        <f aca="true" t="shared" si="1" ref="I19:I82">H19+G19</f>
        <v>199209.90000000002</v>
      </c>
      <c r="J19" s="99">
        <f>SUM(J20,J24,J35,J42,J38,)</f>
        <v>15108.900000000001</v>
      </c>
      <c r="K19" s="96">
        <f t="shared" si="0"/>
        <v>214318.80000000002</v>
      </c>
      <c r="L19" s="10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36.75" customHeight="1">
      <c r="A20" s="149" t="s">
        <v>88</v>
      </c>
      <c r="B20" s="78">
        <v>801</v>
      </c>
      <c r="C20" s="67" t="s">
        <v>24</v>
      </c>
      <c r="D20" s="67" t="s">
        <v>25</v>
      </c>
      <c r="E20" s="67"/>
      <c r="F20" s="67"/>
      <c r="G20" s="96">
        <f aca="true" t="shared" si="2" ref="G20:J22">SUM(G21)</f>
        <v>2114.3</v>
      </c>
      <c r="H20" s="99">
        <f t="shared" si="2"/>
        <v>0</v>
      </c>
      <c r="I20" s="99">
        <f t="shared" si="1"/>
        <v>2114.3</v>
      </c>
      <c r="J20" s="99">
        <f t="shared" si="2"/>
        <v>185</v>
      </c>
      <c r="K20" s="96">
        <f t="shared" si="0"/>
        <v>2299.3</v>
      </c>
      <c r="L20" s="112"/>
      <c r="M20" s="113"/>
      <c r="N20" s="39"/>
      <c r="O20" s="39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51.75" customHeight="1">
      <c r="A21" s="124" t="s">
        <v>93</v>
      </c>
      <c r="B21" s="78">
        <v>801</v>
      </c>
      <c r="C21" s="67" t="s">
        <v>24</v>
      </c>
      <c r="D21" s="67" t="s">
        <v>25</v>
      </c>
      <c r="E21" s="67" t="s">
        <v>94</v>
      </c>
      <c r="F21" s="67"/>
      <c r="G21" s="96">
        <f t="shared" si="2"/>
        <v>2114.3</v>
      </c>
      <c r="H21" s="99">
        <f t="shared" si="2"/>
        <v>0</v>
      </c>
      <c r="I21" s="99">
        <f t="shared" si="1"/>
        <v>2114.3</v>
      </c>
      <c r="J21" s="99">
        <f t="shared" si="2"/>
        <v>185</v>
      </c>
      <c r="K21" s="96">
        <f t="shared" si="0"/>
        <v>2299.3</v>
      </c>
      <c r="L21" s="112"/>
      <c r="M21" s="113"/>
      <c r="N21" s="39"/>
      <c r="O21" s="39"/>
      <c r="P21" s="39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8.75" customHeight="1">
      <c r="A22" s="124" t="s">
        <v>707</v>
      </c>
      <c r="B22" s="78">
        <v>801</v>
      </c>
      <c r="C22" s="67" t="s">
        <v>24</v>
      </c>
      <c r="D22" s="67" t="s">
        <v>25</v>
      </c>
      <c r="E22" s="67" t="s">
        <v>95</v>
      </c>
      <c r="F22" s="67"/>
      <c r="G22" s="96">
        <f t="shared" si="2"/>
        <v>2114.3</v>
      </c>
      <c r="H22" s="99">
        <f t="shared" si="2"/>
        <v>0</v>
      </c>
      <c r="I22" s="99">
        <f t="shared" si="1"/>
        <v>2114.3</v>
      </c>
      <c r="J22" s="99">
        <f t="shared" si="2"/>
        <v>185</v>
      </c>
      <c r="K22" s="96">
        <f t="shared" si="0"/>
        <v>2299.3</v>
      </c>
      <c r="L22" s="112"/>
      <c r="M22" s="113"/>
      <c r="N22" s="39"/>
      <c r="O22" s="39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9.5" customHeight="1">
      <c r="A23" s="120" t="s">
        <v>438</v>
      </c>
      <c r="B23" s="78">
        <v>801</v>
      </c>
      <c r="C23" s="67" t="s">
        <v>24</v>
      </c>
      <c r="D23" s="67" t="s">
        <v>25</v>
      </c>
      <c r="E23" s="67" t="s">
        <v>95</v>
      </c>
      <c r="F23" s="67" t="s">
        <v>277</v>
      </c>
      <c r="G23" s="96">
        <v>2114.3</v>
      </c>
      <c r="H23" s="104"/>
      <c r="I23" s="99">
        <f t="shared" si="1"/>
        <v>2114.3</v>
      </c>
      <c r="J23" s="104">
        <v>185</v>
      </c>
      <c r="K23" s="96">
        <f t="shared" si="0"/>
        <v>2299.3</v>
      </c>
      <c r="L23" s="112"/>
      <c r="M23" s="113"/>
      <c r="N23" s="39"/>
      <c r="O23" s="39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54" customHeight="1">
      <c r="A24" s="124" t="s">
        <v>97</v>
      </c>
      <c r="B24" s="78">
        <v>801</v>
      </c>
      <c r="C24" s="67" t="s">
        <v>24</v>
      </c>
      <c r="D24" s="67" t="s">
        <v>27</v>
      </c>
      <c r="E24" s="67"/>
      <c r="F24" s="67"/>
      <c r="G24" s="96">
        <f>SUM(G25,G28)</f>
        <v>93465.7</v>
      </c>
      <c r="H24" s="99">
        <f>SUM(H25,H28)</f>
        <v>-358.4000000000001</v>
      </c>
      <c r="I24" s="99">
        <f t="shared" si="1"/>
        <v>93107.3</v>
      </c>
      <c r="J24" s="99">
        <f>SUM(J25,J28)</f>
        <v>9383.2</v>
      </c>
      <c r="K24" s="96">
        <f t="shared" si="0"/>
        <v>102490.5</v>
      </c>
      <c r="L24" s="112"/>
      <c r="M24" s="113"/>
      <c r="N24" s="39"/>
      <c r="O24" s="39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53.25" customHeight="1">
      <c r="A25" s="124" t="s">
        <v>93</v>
      </c>
      <c r="B25" s="78">
        <v>801</v>
      </c>
      <c r="C25" s="67" t="s">
        <v>24</v>
      </c>
      <c r="D25" s="67" t="s">
        <v>27</v>
      </c>
      <c r="E25" s="67" t="s">
        <v>94</v>
      </c>
      <c r="F25" s="67"/>
      <c r="G25" s="96">
        <f aca="true" t="shared" si="3" ref="G25:J26">SUM(G26)</f>
        <v>91838.5</v>
      </c>
      <c r="H25" s="99">
        <f t="shared" si="3"/>
        <v>-358.4000000000001</v>
      </c>
      <c r="I25" s="99">
        <f t="shared" si="1"/>
        <v>91480.1</v>
      </c>
      <c r="J25" s="99">
        <f t="shared" si="3"/>
        <v>9383.2</v>
      </c>
      <c r="K25" s="96">
        <f t="shared" si="0"/>
        <v>100863.3</v>
      </c>
      <c r="L25" s="112"/>
      <c r="M25" s="113"/>
      <c r="N25" s="39"/>
      <c r="O25" s="39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8" customHeight="1">
      <c r="A26" s="124" t="s">
        <v>673</v>
      </c>
      <c r="B26" s="78">
        <v>801</v>
      </c>
      <c r="C26" s="67" t="s">
        <v>24</v>
      </c>
      <c r="D26" s="67" t="s">
        <v>27</v>
      </c>
      <c r="E26" s="67" t="s">
        <v>96</v>
      </c>
      <c r="F26" s="67"/>
      <c r="G26" s="96">
        <f t="shared" si="3"/>
        <v>91838.5</v>
      </c>
      <c r="H26" s="99">
        <f t="shared" si="3"/>
        <v>-358.4000000000001</v>
      </c>
      <c r="I26" s="99">
        <f t="shared" si="1"/>
        <v>91480.1</v>
      </c>
      <c r="J26" s="99">
        <f t="shared" si="3"/>
        <v>9383.2</v>
      </c>
      <c r="K26" s="96">
        <f t="shared" si="0"/>
        <v>100863.3</v>
      </c>
      <c r="L26" s="112"/>
      <c r="M26" s="113"/>
      <c r="N26" s="39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8.75" customHeight="1">
      <c r="A27" s="120" t="s">
        <v>438</v>
      </c>
      <c r="B27" s="78">
        <v>801</v>
      </c>
      <c r="C27" s="67" t="s">
        <v>24</v>
      </c>
      <c r="D27" s="67" t="s">
        <v>27</v>
      </c>
      <c r="E27" s="67" t="s">
        <v>96</v>
      </c>
      <c r="F27" s="67" t="s">
        <v>277</v>
      </c>
      <c r="G27" s="96">
        <f>90282.2+1286.3+270</f>
        <v>91838.5</v>
      </c>
      <c r="H27" s="104">
        <f>-729.2-11.1+81.9+300</f>
        <v>-358.4000000000001</v>
      </c>
      <c r="I27" s="99">
        <f t="shared" si="1"/>
        <v>91480.1</v>
      </c>
      <c r="J27" s="104">
        <f>7192.8+1033.9+760.5+341+100+100-145</f>
        <v>9383.2</v>
      </c>
      <c r="K27" s="96">
        <f t="shared" si="0"/>
        <v>100863.3</v>
      </c>
      <c r="L27" s="112"/>
      <c r="M27" s="113"/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8.75" customHeight="1">
      <c r="A28" s="120" t="s">
        <v>718</v>
      </c>
      <c r="B28" s="78">
        <v>801</v>
      </c>
      <c r="C28" s="67" t="s">
        <v>24</v>
      </c>
      <c r="D28" s="67" t="s">
        <v>27</v>
      </c>
      <c r="E28" s="67" t="s">
        <v>80</v>
      </c>
      <c r="F28" s="67"/>
      <c r="G28" s="96">
        <f>G29+G31+G33</f>
        <v>1627.2</v>
      </c>
      <c r="H28" s="99">
        <f>H29+H31+H33</f>
        <v>0</v>
      </c>
      <c r="I28" s="99">
        <f t="shared" si="1"/>
        <v>1627.2</v>
      </c>
      <c r="J28" s="99">
        <f>J29+J31+J33</f>
        <v>0</v>
      </c>
      <c r="K28" s="96">
        <f t="shared" si="0"/>
        <v>1627.2</v>
      </c>
      <c r="L28" s="106"/>
      <c r="M28" s="113"/>
      <c r="N28" s="39"/>
      <c r="O28" s="39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55.5" customHeight="1">
      <c r="A29" s="120" t="s">
        <v>418</v>
      </c>
      <c r="B29" s="78">
        <v>801</v>
      </c>
      <c r="C29" s="67" t="s">
        <v>24</v>
      </c>
      <c r="D29" s="67" t="s">
        <v>27</v>
      </c>
      <c r="E29" s="67" t="s">
        <v>414</v>
      </c>
      <c r="F29" s="67"/>
      <c r="G29" s="96">
        <f>G30</f>
        <v>1073.8</v>
      </c>
      <c r="H29" s="99">
        <f>H30</f>
        <v>0</v>
      </c>
      <c r="I29" s="99">
        <f t="shared" si="1"/>
        <v>1073.8</v>
      </c>
      <c r="J29" s="99">
        <f>J30</f>
        <v>0</v>
      </c>
      <c r="K29" s="96">
        <f t="shared" si="0"/>
        <v>1073.8</v>
      </c>
      <c r="L29" s="106"/>
      <c r="M29" s="113"/>
      <c r="N29" s="39"/>
      <c r="O29" s="39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8.75" customHeight="1">
      <c r="A30" s="124" t="s">
        <v>453</v>
      </c>
      <c r="B30" s="78">
        <v>801</v>
      </c>
      <c r="C30" s="67" t="s">
        <v>24</v>
      </c>
      <c r="D30" s="67" t="s">
        <v>27</v>
      </c>
      <c r="E30" s="67" t="s">
        <v>414</v>
      </c>
      <c r="F30" s="67" t="s">
        <v>275</v>
      </c>
      <c r="G30" s="96">
        <v>1073.8</v>
      </c>
      <c r="H30" s="104"/>
      <c r="I30" s="99">
        <f t="shared" si="1"/>
        <v>1073.8</v>
      </c>
      <c r="J30" s="104"/>
      <c r="K30" s="96">
        <f t="shared" si="0"/>
        <v>1073.8</v>
      </c>
      <c r="L30" s="106"/>
      <c r="M30" s="113"/>
      <c r="N30" s="39"/>
      <c r="O30" s="3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2.5" customHeight="1">
      <c r="A31" s="124" t="s">
        <v>512</v>
      </c>
      <c r="B31" s="78">
        <v>801</v>
      </c>
      <c r="C31" s="67" t="s">
        <v>24</v>
      </c>
      <c r="D31" s="67" t="s">
        <v>27</v>
      </c>
      <c r="E31" s="67" t="s">
        <v>415</v>
      </c>
      <c r="F31" s="67"/>
      <c r="G31" s="96">
        <f>G32</f>
        <v>552.7</v>
      </c>
      <c r="H31" s="99">
        <f>H32</f>
        <v>0</v>
      </c>
      <c r="I31" s="99">
        <f t="shared" si="1"/>
        <v>552.7</v>
      </c>
      <c r="J31" s="99">
        <f>J32</f>
        <v>0</v>
      </c>
      <c r="K31" s="96">
        <f t="shared" si="0"/>
        <v>552.7</v>
      </c>
      <c r="L31" s="106"/>
      <c r="M31" s="113"/>
      <c r="N31" s="39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8.75" customHeight="1">
      <c r="A32" s="124" t="s">
        <v>453</v>
      </c>
      <c r="B32" s="78">
        <v>801</v>
      </c>
      <c r="C32" s="67" t="s">
        <v>24</v>
      </c>
      <c r="D32" s="67" t="s">
        <v>27</v>
      </c>
      <c r="E32" s="67" t="s">
        <v>415</v>
      </c>
      <c r="F32" s="67" t="s">
        <v>275</v>
      </c>
      <c r="G32" s="96">
        <v>552.7</v>
      </c>
      <c r="H32" s="104"/>
      <c r="I32" s="99">
        <f t="shared" si="1"/>
        <v>552.7</v>
      </c>
      <c r="J32" s="104"/>
      <c r="K32" s="96">
        <f t="shared" si="0"/>
        <v>552.7</v>
      </c>
      <c r="L32" s="106"/>
      <c r="M32" s="38"/>
      <c r="N32" s="39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85.5" customHeight="1">
      <c r="A33" s="124" t="s">
        <v>691</v>
      </c>
      <c r="B33" s="78">
        <v>801</v>
      </c>
      <c r="C33" s="67" t="s">
        <v>24</v>
      </c>
      <c r="D33" s="67" t="s">
        <v>27</v>
      </c>
      <c r="E33" s="67" t="s">
        <v>416</v>
      </c>
      <c r="F33" s="67"/>
      <c r="G33" s="96">
        <f>G34</f>
        <v>0.7</v>
      </c>
      <c r="H33" s="99">
        <f>H34</f>
        <v>0</v>
      </c>
      <c r="I33" s="99">
        <f t="shared" si="1"/>
        <v>0.7</v>
      </c>
      <c r="J33" s="99">
        <f>J34</f>
        <v>0</v>
      </c>
      <c r="K33" s="96">
        <f t="shared" si="0"/>
        <v>0.7</v>
      </c>
      <c r="L33" s="106"/>
      <c r="M33" s="38"/>
      <c r="N33" s="38"/>
      <c r="O33" s="3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8.75" customHeight="1">
      <c r="A34" s="124" t="s">
        <v>453</v>
      </c>
      <c r="B34" s="78">
        <v>801</v>
      </c>
      <c r="C34" s="67" t="s">
        <v>24</v>
      </c>
      <c r="D34" s="67" t="s">
        <v>27</v>
      </c>
      <c r="E34" s="67" t="s">
        <v>416</v>
      </c>
      <c r="F34" s="67" t="s">
        <v>275</v>
      </c>
      <c r="G34" s="96">
        <v>0.7</v>
      </c>
      <c r="H34" s="104"/>
      <c r="I34" s="99">
        <f t="shared" si="1"/>
        <v>0.7</v>
      </c>
      <c r="J34" s="104"/>
      <c r="K34" s="96">
        <f t="shared" si="0"/>
        <v>0.7</v>
      </c>
      <c r="L34" s="106"/>
      <c r="M34" s="38"/>
      <c r="N34" s="38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8" customHeight="1">
      <c r="A35" s="124" t="s">
        <v>709</v>
      </c>
      <c r="B35" s="78">
        <v>801</v>
      </c>
      <c r="C35" s="67" t="s">
        <v>24</v>
      </c>
      <c r="D35" s="67" t="s">
        <v>108</v>
      </c>
      <c r="E35" s="67"/>
      <c r="F35" s="67"/>
      <c r="G35" s="96">
        <f>G36</f>
        <v>0</v>
      </c>
      <c r="H35" s="104"/>
      <c r="I35" s="99">
        <f t="shared" si="1"/>
        <v>0</v>
      </c>
      <c r="J35" s="104">
        <f>J36</f>
        <v>27.1</v>
      </c>
      <c r="K35" s="96">
        <f t="shared" si="0"/>
        <v>27.1</v>
      </c>
      <c r="L35" s="106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51" customHeight="1">
      <c r="A36" s="124" t="s">
        <v>174</v>
      </c>
      <c r="B36" s="78">
        <v>801</v>
      </c>
      <c r="C36" s="67" t="s">
        <v>24</v>
      </c>
      <c r="D36" s="67" t="s">
        <v>108</v>
      </c>
      <c r="E36" s="67" t="s">
        <v>396</v>
      </c>
      <c r="F36" s="67"/>
      <c r="G36" s="96">
        <f>G37</f>
        <v>0</v>
      </c>
      <c r="H36" s="104"/>
      <c r="I36" s="99">
        <f t="shared" si="1"/>
        <v>0</v>
      </c>
      <c r="J36" s="104">
        <f>J37</f>
        <v>27.1</v>
      </c>
      <c r="K36" s="96">
        <f t="shared" si="0"/>
        <v>27.1</v>
      </c>
      <c r="L36" s="106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20.25" customHeight="1">
      <c r="A37" s="124" t="s">
        <v>453</v>
      </c>
      <c r="B37" s="78">
        <v>801</v>
      </c>
      <c r="C37" s="67" t="s">
        <v>24</v>
      </c>
      <c r="D37" s="67" t="s">
        <v>108</v>
      </c>
      <c r="E37" s="67" t="s">
        <v>396</v>
      </c>
      <c r="F37" s="67" t="s">
        <v>275</v>
      </c>
      <c r="G37" s="96"/>
      <c r="H37" s="104"/>
      <c r="I37" s="99">
        <f t="shared" si="1"/>
        <v>0</v>
      </c>
      <c r="J37" s="104">
        <v>27.1</v>
      </c>
      <c r="K37" s="96">
        <f t="shared" si="0"/>
        <v>27.1</v>
      </c>
      <c r="L37" s="106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20.25" customHeight="1">
      <c r="A38" s="135" t="s">
        <v>634</v>
      </c>
      <c r="B38" s="78">
        <v>801</v>
      </c>
      <c r="C38" s="79" t="s">
        <v>24</v>
      </c>
      <c r="D38" s="67" t="s">
        <v>625</v>
      </c>
      <c r="E38" s="67"/>
      <c r="F38" s="67"/>
      <c r="G38" s="96">
        <f aca="true" t="shared" si="4" ref="G38:J40">G39</f>
        <v>2005.6</v>
      </c>
      <c r="H38" s="99">
        <f t="shared" si="4"/>
        <v>0</v>
      </c>
      <c r="I38" s="99">
        <f t="shared" si="1"/>
        <v>2005.6</v>
      </c>
      <c r="J38" s="99">
        <f t="shared" si="4"/>
        <v>-1341.8</v>
      </c>
      <c r="K38" s="96">
        <f t="shared" si="0"/>
        <v>663.8</v>
      </c>
      <c r="L38" s="106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20.25" customHeight="1">
      <c r="A39" s="156" t="s">
        <v>714</v>
      </c>
      <c r="B39" s="78">
        <v>801</v>
      </c>
      <c r="C39" s="79" t="s">
        <v>24</v>
      </c>
      <c r="D39" s="67" t="s">
        <v>625</v>
      </c>
      <c r="E39" s="67" t="s">
        <v>77</v>
      </c>
      <c r="F39" s="67"/>
      <c r="G39" s="96">
        <f t="shared" si="4"/>
        <v>2005.6</v>
      </c>
      <c r="H39" s="99">
        <f t="shared" si="4"/>
        <v>0</v>
      </c>
      <c r="I39" s="99">
        <f t="shared" si="1"/>
        <v>2005.6</v>
      </c>
      <c r="J39" s="99">
        <f t="shared" si="4"/>
        <v>-1341.8</v>
      </c>
      <c r="K39" s="96">
        <f t="shared" si="0"/>
        <v>663.8</v>
      </c>
      <c r="L39" s="106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50.25" customHeight="1">
      <c r="A40" s="124" t="s">
        <v>75</v>
      </c>
      <c r="B40" s="78">
        <v>801</v>
      </c>
      <c r="C40" s="79" t="s">
        <v>24</v>
      </c>
      <c r="D40" s="67" t="s">
        <v>625</v>
      </c>
      <c r="E40" s="67" t="s">
        <v>76</v>
      </c>
      <c r="F40" s="67"/>
      <c r="G40" s="96">
        <f t="shared" si="4"/>
        <v>2005.6</v>
      </c>
      <c r="H40" s="99">
        <f t="shared" si="4"/>
        <v>0</v>
      </c>
      <c r="I40" s="99">
        <f t="shared" si="1"/>
        <v>2005.6</v>
      </c>
      <c r="J40" s="99">
        <f t="shared" si="4"/>
        <v>-1341.8</v>
      </c>
      <c r="K40" s="96">
        <f t="shared" si="0"/>
        <v>663.8</v>
      </c>
      <c r="L40" s="106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20.25" customHeight="1">
      <c r="A41" s="124" t="s">
        <v>438</v>
      </c>
      <c r="B41" s="78">
        <v>801</v>
      </c>
      <c r="C41" s="79" t="s">
        <v>24</v>
      </c>
      <c r="D41" s="67" t="s">
        <v>625</v>
      </c>
      <c r="E41" s="67" t="s">
        <v>96</v>
      </c>
      <c r="F41" s="67" t="s">
        <v>277</v>
      </c>
      <c r="G41" s="96">
        <f>1802+203.6</f>
        <v>2005.6</v>
      </c>
      <c r="H41" s="104"/>
      <c r="I41" s="99">
        <f t="shared" si="1"/>
        <v>2005.6</v>
      </c>
      <c r="J41" s="104">
        <f>158.2-1500</f>
        <v>-1341.8</v>
      </c>
      <c r="K41" s="96">
        <f t="shared" si="0"/>
        <v>663.8</v>
      </c>
      <c r="L41" s="106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8.75" customHeight="1">
      <c r="A42" s="136" t="s">
        <v>397</v>
      </c>
      <c r="B42" s="78">
        <v>801</v>
      </c>
      <c r="C42" s="67" t="s">
        <v>24</v>
      </c>
      <c r="D42" s="67" t="s">
        <v>606</v>
      </c>
      <c r="E42" s="67"/>
      <c r="F42" s="67"/>
      <c r="G42" s="96">
        <f>G43+G49+G63+G54</f>
        <v>102387.7</v>
      </c>
      <c r="H42" s="99">
        <f>H43+H49+H63+H54</f>
        <v>-405</v>
      </c>
      <c r="I42" s="99">
        <f t="shared" si="1"/>
        <v>101982.7</v>
      </c>
      <c r="J42" s="99">
        <f>J43+J49+J63+J54</f>
        <v>6855.4</v>
      </c>
      <c r="K42" s="96">
        <f t="shared" si="0"/>
        <v>108838.09999999999</v>
      </c>
      <c r="L42" s="106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9.5" customHeight="1">
      <c r="A43" s="146" t="s">
        <v>70</v>
      </c>
      <c r="B43" s="78">
        <v>801</v>
      </c>
      <c r="C43" s="67" t="s">
        <v>24</v>
      </c>
      <c r="D43" s="67" t="s">
        <v>606</v>
      </c>
      <c r="E43" s="67" t="s">
        <v>432</v>
      </c>
      <c r="F43" s="67"/>
      <c r="G43" s="96">
        <f>G44+G47</f>
        <v>91541.5</v>
      </c>
      <c r="H43" s="99">
        <f>H44+H47</f>
        <v>-422.4</v>
      </c>
      <c r="I43" s="99">
        <f t="shared" si="1"/>
        <v>91119.1</v>
      </c>
      <c r="J43" s="99">
        <f>J44+J47</f>
        <v>6196.9</v>
      </c>
      <c r="K43" s="96">
        <f t="shared" si="0"/>
        <v>97316</v>
      </c>
      <c r="L43" s="106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20.25" customHeight="1">
      <c r="A44" s="124" t="s">
        <v>71</v>
      </c>
      <c r="B44" s="78">
        <v>801</v>
      </c>
      <c r="C44" s="67" t="s">
        <v>24</v>
      </c>
      <c r="D44" s="67" t="s">
        <v>606</v>
      </c>
      <c r="E44" s="67" t="s">
        <v>490</v>
      </c>
      <c r="F44" s="67"/>
      <c r="G44" s="96">
        <f>SUM(G45:G46)</f>
        <v>5728.5</v>
      </c>
      <c r="H44" s="99">
        <f>SUM(H45:H46)</f>
        <v>185</v>
      </c>
      <c r="I44" s="99">
        <f t="shared" si="1"/>
        <v>5913.5</v>
      </c>
      <c r="J44" s="99">
        <f>SUM(J45:J46)</f>
        <v>-162.4000000000001</v>
      </c>
      <c r="K44" s="96">
        <f t="shared" si="0"/>
        <v>5751.1</v>
      </c>
      <c r="L44" s="106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20.25" customHeight="1">
      <c r="A45" s="136" t="s">
        <v>733</v>
      </c>
      <c r="B45" s="78">
        <v>801</v>
      </c>
      <c r="C45" s="67" t="s">
        <v>24</v>
      </c>
      <c r="D45" s="67" t="s">
        <v>606</v>
      </c>
      <c r="E45" s="67" t="s">
        <v>490</v>
      </c>
      <c r="F45" s="67" t="s">
        <v>318</v>
      </c>
      <c r="G45" s="96">
        <v>700</v>
      </c>
      <c r="H45" s="104"/>
      <c r="I45" s="99">
        <f t="shared" si="1"/>
        <v>700</v>
      </c>
      <c r="J45" s="104"/>
      <c r="K45" s="96">
        <f t="shared" si="0"/>
        <v>700</v>
      </c>
      <c r="L45" s="106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20.25" customHeight="1">
      <c r="A46" s="120" t="s">
        <v>438</v>
      </c>
      <c r="B46" s="78">
        <v>801</v>
      </c>
      <c r="C46" s="67" t="s">
        <v>24</v>
      </c>
      <c r="D46" s="67" t="s">
        <v>606</v>
      </c>
      <c r="E46" s="67" t="s">
        <v>490</v>
      </c>
      <c r="F46" s="67" t="s">
        <v>277</v>
      </c>
      <c r="G46" s="96">
        <f>9069.1-700-203.6+363-3500</f>
        <v>5028.5</v>
      </c>
      <c r="H46" s="104">
        <v>185</v>
      </c>
      <c r="I46" s="99">
        <f t="shared" si="1"/>
        <v>5213.5</v>
      </c>
      <c r="J46" s="104">
        <f>-1214.9+13.5+159+880</f>
        <v>-162.4000000000001</v>
      </c>
      <c r="K46" s="96">
        <f t="shared" si="0"/>
        <v>5051.1</v>
      </c>
      <c r="L46" s="10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20.25" customHeight="1">
      <c r="A47" s="136" t="s">
        <v>655</v>
      </c>
      <c r="B47" s="78">
        <v>801</v>
      </c>
      <c r="C47" s="67" t="s">
        <v>24</v>
      </c>
      <c r="D47" s="67" t="s">
        <v>606</v>
      </c>
      <c r="E47" s="67" t="s">
        <v>662</v>
      </c>
      <c r="F47" s="67"/>
      <c r="G47" s="96">
        <f>SUM(G48)</f>
        <v>85813</v>
      </c>
      <c r="H47" s="99">
        <f>SUM(H48)</f>
        <v>-607.4</v>
      </c>
      <c r="I47" s="99">
        <f t="shared" si="1"/>
        <v>85205.6</v>
      </c>
      <c r="J47" s="99">
        <f>SUM(J48)</f>
        <v>6359.3</v>
      </c>
      <c r="K47" s="96">
        <f t="shared" si="0"/>
        <v>91564.90000000001</v>
      </c>
      <c r="L47" s="106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20.25" customHeight="1">
      <c r="A48" s="124" t="s">
        <v>63</v>
      </c>
      <c r="B48" s="78">
        <v>801</v>
      </c>
      <c r="C48" s="67" t="s">
        <v>24</v>
      </c>
      <c r="D48" s="67" t="s">
        <v>606</v>
      </c>
      <c r="E48" s="67" t="s">
        <v>662</v>
      </c>
      <c r="F48" s="67" t="s">
        <v>660</v>
      </c>
      <c r="G48" s="96">
        <v>85813</v>
      </c>
      <c r="H48" s="104">
        <f>-805-145+11.1+34.6+46.9+250</f>
        <v>-607.4</v>
      </c>
      <c r="I48" s="99">
        <f t="shared" si="1"/>
        <v>85205.6</v>
      </c>
      <c r="J48" s="104">
        <f>2405.6+675.4+20+150+698.5+371.1+378.3+1015.4+145+500</f>
        <v>6359.3</v>
      </c>
      <c r="K48" s="96">
        <f t="shared" si="0"/>
        <v>91564.90000000001</v>
      </c>
      <c r="L48" s="106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35.25" customHeight="1">
      <c r="A49" s="123" t="s">
        <v>637</v>
      </c>
      <c r="B49" s="78">
        <v>801</v>
      </c>
      <c r="C49" s="67" t="s">
        <v>24</v>
      </c>
      <c r="D49" s="67" t="s">
        <v>606</v>
      </c>
      <c r="E49" s="80" t="s">
        <v>230</v>
      </c>
      <c r="F49" s="80"/>
      <c r="G49" s="96">
        <f>G50+G52</f>
        <v>7905.5</v>
      </c>
      <c r="H49" s="99">
        <f>H50+H52</f>
        <v>17.4</v>
      </c>
      <c r="I49" s="99">
        <f t="shared" si="1"/>
        <v>7922.9</v>
      </c>
      <c r="J49" s="99">
        <f>J50+J52</f>
        <v>440.7</v>
      </c>
      <c r="K49" s="96">
        <f t="shared" si="0"/>
        <v>8363.6</v>
      </c>
      <c r="L49" s="106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20.25" customHeight="1">
      <c r="A50" s="136" t="s">
        <v>677</v>
      </c>
      <c r="B50" s="78">
        <v>801</v>
      </c>
      <c r="C50" s="67" t="s">
        <v>24</v>
      </c>
      <c r="D50" s="67" t="s">
        <v>606</v>
      </c>
      <c r="E50" s="80" t="s">
        <v>602</v>
      </c>
      <c r="F50" s="80"/>
      <c r="G50" s="96">
        <f>SUM(G51)</f>
        <v>111.7</v>
      </c>
      <c r="H50" s="99">
        <f>SUM(H51)</f>
        <v>0</v>
      </c>
      <c r="I50" s="99">
        <f t="shared" si="1"/>
        <v>111.7</v>
      </c>
      <c r="J50" s="99">
        <f>SUM(J51)</f>
        <v>0</v>
      </c>
      <c r="K50" s="96">
        <f t="shared" si="0"/>
        <v>111.7</v>
      </c>
      <c r="L50" s="106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20.25" customHeight="1">
      <c r="A51" s="124" t="s">
        <v>63</v>
      </c>
      <c r="B51" s="78">
        <v>801</v>
      </c>
      <c r="C51" s="67" t="s">
        <v>24</v>
      </c>
      <c r="D51" s="67" t="s">
        <v>606</v>
      </c>
      <c r="E51" s="80" t="s">
        <v>602</v>
      </c>
      <c r="F51" s="67" t="s">
        <v>660</v>
      </c>
      <c r="G51" s="96">
        <v>111.7</v>
      </c>
      <c r="H51" s="104"/>
      <c r="I51" s="99">
        <f t="shared" si="1"/>
        <v>111.7</v>
      </c>
      <c r="J51" s="104"/>
      <c r="K51" s="96">
        <f t="shared" si="0"/>
        <v>111.7</v>
      </c>
      <c r="L51" s="106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20.25" customHeight="1">
      <c r="A52" s="136" t="s">
        <v>655</v>
      </c>
      <c r="B52" s="78">
        <v>801</v>
      </c>
      <c r="C52" s="67" t="s">
        <v>24</v>
      </c>
      <c r="D52" s="67" t="s">
        <v>606</v>
      </c>
      <c r="E52" s="67" t="s">
        <v>231</v>
      </c>
      <c r="F52" s="67"/>
      <c r="G52" s="96">
        <f>SUM(G53)</f>
        <v>7793.8</v>
      </c>
      <c r="H52" s="99">
        <f>SUM(H53)</f>
        <v>17.4</v>
      </c>
      <c r="I52" s="99">
        <f t="shared" si="1"/>
        <v>7811.2</v>
      </c>
      <c r="J52" s="99">
        <f>SUM(J53)</f>
        <v>440.7</v>
      </c>
      <c r="K52" s="96">
        <f t="shared" si="0"/>
        <v>8251.9</v>
      </c>
      <c r="L52" s="106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20.25" customHeight="1">
      <c r="A53" s="124" t="s">
        <v>63</v>
      </c>
      <c r="B53" s="78">
        <v>801</v>
      </c>
      <c r="C53" s="67" t="s">
        <v>24</v>
      </c>
      <c r="D53" s="67" t="s">
        <v>606</v>
      </c>
      <c r="E53" s="67" t="s">
        <v>231</v>
      </c>
      <c r="F53" s="67" t="s">
        <v>660</v>
      </c>
      <c r="G53" s="96">
        <v>7793.8</v>
      </c>
      <c r="H53" s="104">
        <v>17.4</v>
      </c>
      <c r="I53" s="99">
        <f t="shared" si="1"/>
        <v>7811.2</v>
      </c>
      <c r="J53" s="104">
        <v>440.7</v>
      </c>
      <c r="K53" s="96">
        <f t="shared" si="0"/>
        <v>8251.9</v>
      </c>
      <c r="L53" s="106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23.25" customHeight="1">
      <c r="A54" s="120" t="s">
        <v>718</v>
      </c>
      <c r="B54" s="78">
        <v>801</v>
      </c>
      <c r="C54" s="67" t="s">
        <v>24</v>
      </c>
      <c r="D54" s="67" t="s">
        <v>606</v>
      </c>
      <c r="E54" s="67" t="s">
        <v>80</v>
      </c>
      <c r="F54" s="67"/>
      <c r="G54" s="96">
        <f>G55+G57+G59+G62</f>
        <v>838.2</v>
      </c>
      <c r="H54" s="99">
        <f>H55+H57+H59+H62</f>
        <v>0</v>
      </c>
      <c r="I54" s="99">
        <f t="shared" si="1"/>
        <v>838.2</v>
      </c>
      <c r="J54" s="99">
        <f>J55+J57+J59+J62</f>
        <v>0</v>
      </c>
      <c r="K54" s="96">
        <f t="shared" si="0"/>
        <v>838.2</v>
      </c>
      <c r="L54" s="106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36" customHeight="1" hidden="1">
      <c r="A55" s="120" t="s">
        <v>719</v>
      </c>
      <c r="B55" s="78">
        <v>801</v>
      </c>
      <c r="C55" s="67" t="s">
        <v>24</v>
      </c>
      <c r="D55" s="67" t="s">
        <v>606</v>
      </c>
      <c r="E55" s="67" t="s">
        <v>414</v>
      </c>
      <c r="F55" s="67"/>
      <c r="G55" s="96">
        <f>G56</f>
        <v>0</v>
      </c>
      <c r="H55" s="99">
        <f>H56</f>
        <v>0</v>
      </c>
      <c r="I55" s="99">
        <f t="shared" si="1"/>
        <v>0</v>
      </c>
      <c r="J55" s="99">
        <f>J56</f>
        <v>0</v>
      </c>
      <c r="K55" s="96">
        <f t="shared" si="0"/>
        <v>0</v>
      </c>
      <c r="L55" s="106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20.25" customHeight="1" hidden="1">
      <c r="A56" s="124" t="s">
        <v>453</v>
      </c>
      <c r="B56" s="78">
        <v>801</v>
      </c>
      <c r="C56" s="67" t="s">
        <v>24</v>
      </c>
      <c r="D56" s="67" t="s">
        <v>606</v>
      </c>
      <c r="E56" s="67" t="s">
        <v>414</v>
      </c>
      <c r="F56" s="67" t="s">
        <v>275</v>
      </c>
      <c r="G56" s="96"/>
      <c r="H56" s="99"/>
      <c r="I56" s="99">
        <f t="shared" si="1"/>
        <v>0</v>
      </c>
      <c r="J56" s="99"/>
      <c r="K56" s="96">
        <f t="shared" si="0"/>
        <v>0</v>
      </c>
      <c r="L56" s="106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33.75" customHeight="1">
      <c r="A57" s="120" t="s">
        <v>170</v>
      </c>
      <c r="B57" s="78">
        <v>801</v>
      </c>
      <c r="C57" s="67" t="s">
        <v>24</v>
      </c>
      <c r="D57" s="67" t="s">
        <v>606</v>
      </c>
      <c r="E57" s="67" t="s">
        <v>411</v>
      </c>
      <c r="F57" s="67"/>
      <c r="G57" s="96">
        <f>G58</f>
        <v>838.2</v>
      </c>
      <c r="H57" s="99">
        <f>H58</f>
        <v>0</v>
      </c>
      <c r="I57" s="99">
        <f t="shared" si="1"/>
        <v>838.2</v>
      </c>
      <c r="J57" s="99">
        <f>J58</f>
        <v>0</v>
      </c>
      <c r="K57" s="96">
        <f t="shared" si="0"/>
        <v>838.2</v>
      </c>
      <c r="L57" s="106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20.25" customHeight="1">
      <c r="A58" s="124" t="s">
        <v>63</v>
      </c>
      <c r="B58" s="78">
        <v>801</v>
      </c>
      <c r="C58" s="67" t="s">
        <v>24</v>
      </c>
      <c r="D58" s="67" t="s">
        <v>606</v>
      </c>
      <c r="E58" s="67" t="s">
        <v>411</v>
      </c>
      <c r="F58" s="67" t="s">
        <v>660</v>
      </c>
      <c r="G58" s="96">
        <v>838.2</v>
      </c>
      <c r="H58" s="104"/>
      <c r="I58" s="99">
        <f t="shared" si="1"/>
        <v>838.2</v>
      </c>
      <c r="J58" s="104"/>
      <c r="K58" s="96">
        <f t="shared" si="0"/>
        <v>838.2</v>
      </c>
      <c r="L58" s="106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33.75" customHeight="1" hidden="1">
      <c r="A59" s="124" t="s">
        <v>720</v>
      </c>
      <c r="B59" s="78">
        <v>801</v>
      </c>
      <c r="C59" s="67" t="s">
        <v>24</v>
      </c>
      <c r="D59" s="67" t="s">
        <v>606</v>
      </c>
      <c r="E59" s="67" t="s">
        <v>415</v>
      </c>
      <c r="F59" s="67"/>
      <c r="G59" s="96">
        <f>G60</f>
        <v>0</v>
      </c>
      <c r="H59" s="104"/>
      <c r="I59" s="99">
        <f t="shared" si="1"/>
        <v>0</v>
      </c>
      <c r="J59" s="104"/>
      <c r="K59" s="96">
        <f t="shared" si="0"/>
        <v>0</v>
      </c>
      <c r="L59" s="106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20.25" customHeight="1" hidden="1">
      <c r="A60" s="124" t="s">
        <v>453</v>
      </c>
      <c r="B60" s="78">
        <v>801</v>
      </c>
      <c r="C60" s="67" t="s">
        <v>24</v>
      </c>
      <c r="D60" s="67" t="s">
        <v>606</v>
      </c>
      <c r="E60" s="67" t="s">
        <v>415</v>
      </c>
      <c r="F60" s="67" t="s">
        <v>275</v>
      </c>
      <c r="G60" s="96"/>
      <c r="H60" s="104"/>
      <c r="I60" s="99">
        <f t="shared" si="1"/>
        <v>0</v>
      </c>
      <c r="J60" s="104"/>
      <c r="K60" s="96">
        <f t="shared" si="0"/>
        <v>0</v>
      </c>
      <c r="L60" s="106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71.25" customHeight="1" hidden="1">
      <c r="A61" s="124" t="s">
        <v>721</v>
      </c>
      <c r="B61" s="78">
        <v>801</v>
      </c>
      <c r="C61" s="67" t="s">
        <v>24</v>
      </c>
      <c r="D61" s="67" t="s">
        <v>606</v>
      </c>
      <c r="E61" s="67" t="s">
        <v>416</v>
      </c>
      <c r="F61" s="67"/>
      <c r="G61" s="96">
        <f>G62</f>
        <v>0</v>
      </c>
      <c r="H61" s="104"/>
      <c r="I61" s="99">
        <f t="shared" si="1"/>
        <v>0</v>
      </c>
      <c r="J61" s="104"/>
      <c r="K61" s="96">
        <f t="shared" si="0"/>
        <v>0</v>
      </c>
      <c r="L61" s="106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20.25" customHeight="1" hidden="1">
      <c r="A62" s="124" t="s">
        <v>453</v>
      </c>
      <c r="B62" s="78">
        <v>801</v>
      </c>
      <c r="C62" s="67" t="s">
        <v>24</v>
      </c>
      <c r="D62" s="67" t="s">
        <v>606</v>
      </c>
      <c r="E62" s="67" t="s">
        <v>416</v>
      </c>
      <c r="F62" s="67" t="s">
        <v>275</v>
      </c>
      <c r="G62" s="96"/>
      <c r="H62" s="104"/>
      <c r="I62" s="99">
        <f t="shared" si="1"/>
        <v>0</v>
      </c>
      <c r="J62" s="104"/>
      <c r="K62" s="96">
        <f t="shared" si="0"/>
        <v>0</v>
      </c>
      <c r="L62" s="106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8.75" customHeight="1">
      <c r="A63" s="146" t="s">
        <v>441</v>
      </c>
      <c r="B63" s="78">
        <v>801</v>
      </c>
      <c r="C63" s="67" t="s">
        <v>24</v>
      </c>
      <c r="D63" s="67" t="s">
        <v>606</v>
      </c>
      <c r="E63" s="67" t="s">
        <v>433</v>
      </c>
      <c r="F63" s="67"/>
      <c r="G63" s="96">
        <f>G64</f>
        <v>2102.5</v>
      </c>
      <c r="H63" s="99">
        <f>H64</f>
        <v>0</v>
      </c>
      <c r="I63" s="99">
        <f t="shared" si="1"/>
        <v>2102.5</v>
      </c>
      <c r="J63" s="99">
        <f>J64</f>
        <v>217.79999999999998</v>
      </c>
      <c r="K63" s="96">
        <f t="shared" si="0"/>
        <v>2320.3</v>
      </c>
      <c r="L63" s="106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8.75" customHeight="1">
      <c r="A64" s="146" t="s">
        <v>470</v>
      </c>
      <c r="B64" s="78">
        <v>801</v>
      </c>
      <c r="C64" s="67" t="s">
        <v>24</v>
      </c>
      <c r="D64" s="67" t="s">
        <v>606</v>
      </c>
      <c r="E64" s="67" t="s">
        <v>434</v>
      </c>
      <c r="F64" s="67"/>
      <c r="G64" s="96">
        <f>G65+G67</f>
        <v>2102.5</v>
      </c>
      <c r="H64" s="99">
        <f>H65+H67</f>
        <v>0</v>
      </c>
      <c r="I64" s="99">
        <f t="shared" si="1"/>
        <v>2102.5</v>
      </c>
      <c r="J64" s="99">
        <f>J65+J67</f>
        <v>217.79999999999998</v>
      </c>
      <c r="K64" s="96">
        <f t="shared" si="0"/>
        <v>2320.3</v>
      </c>
      <c r="L64" s="106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21.75" customHeight="1">
      <c r="A65" s="136" t="s">
        <v>279</v>
      </c>
      <c r="B65" s="78">
        <v>801</v>
      </c>
      <c r="C65" s="67" t="s">
        <v>24</v>
      </c>
      <c r="D65" s="67" t="s">
        <v>606</v>
      </c>
      <c r="E65" s="67" t="s">
        <v>446</v>
      </c>
      <c r="F65" s="67"/>
      <c r="G65" s="96">
        <f>SUM(G66)</f>
        <v>1934.5</v>
      </c>
      <c r="H65" s="99">
        <f>SUM(H66)</f>
        <v>0</v>
      </c>
      <c r="I65" s="99">
        <f t="shared" si="1"/>
        <v>1934.5</v>
      </c>
      <c r="J65" s="99">
        <f>SUM(J66)</f>
        <v>217.79999999999998</v>
      </c>
      <c r="K65" s="96">
        <f t="shared" si="0"/>
        <v>2152.3</v>
      </c>
      <c r="L65" s="106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21" customHeight="1">
      <c r="A66" s="120" t="s">
        <v>438</v>
      </c>
      <c r="B66" s="78">
        <v>801</v>
      </c>
      <c r="C66" s="67" t="s">
        <v>24</v>
      </c>
      <c r="D66" s="67" t="s">
        <v>606</v>
      </c>
      <c r="E66" s="67" t="s">
        <v>446</v>
      </c>
      <c r="F66" s="67" t="s">
        <v>277</v>
      </c>
      <c r="G66" s="96">
        <v>1934.5</v>
      </c>
      <c r="H66" s="104"/>
      <c r="I66" s="99">
        <f t="shared" si="1"/>
        <v>1934.5</v>
      </c>
      <c r="J66" s="104">
        <f>192.6+25.2</f>
        <v>217.79999999999998</v>
      </c>
      <c r="K66" s="96">
        <f t="shared" si="0"/>
        <v>2152.3</v>
      </c>
      <c r="L66" s="106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33" customHeight="1">
      <c r="A67" s="120" t="s">
        <v>451</v>
      </c>
      <c r="B67" s="78">
        <v>801</v>
      </c>
      <c r="C67" s="67" t="s">
        <v>24</v>
      </c>
      <c r="D67" s="67" t="s">
        <v>606</v>
      </c>
      <c r="E67" s="67" t="s">
        <v>449</v>
      </c>
      <c r="F67" s="67"/>
      <c r="G67" s="96">
        <f>G68</f>
        <v>168</v>
      </c>
      <c r="H67" s="99">
        <f>H68</f>
        <v>0</v>
      </c>
      <c r="I67" s="99">
        <f t="shared" si="1"/>
        <v>168</v>
      </c>
      <c r="J67" s="99">
        <f>J68</f>
        <v>0</v>
      </c>
      <c r="K67" s="96">
        <f t="shared" si="0"/>
        <v>168</v>
      </c>
      <c r="L67" s="106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21" customHeight="1">
      <c r="A68" s="120" t="s">
        <v>438</v>
      </c>
      <c r="B68" s="78">
        <v>801</v>
      </c>
      <c r="C68" s="67" t="s">
        <v>24</v>
      </c>
      <c r="D68" s="67" t="s">
        <v>606</v>
      </c>
      <c r="E68" s="67" t="s">
        <v>449</v>
      </c>
      <c r="F68" s="67" t="s">
        <v>277</v>
      </c>
      <c r="G68" s="96">
        <v>168</v>
      </c>
      <c r="H68" s="104"/>
      <c r="I68" s="99">
        <f t="shared" si="1"/>
        <v>168</v>
      </c>
      <c r="J68" s="104"/>
      <c r="K68" s="96">
        <f t="shared" si="0"/>
        <v>168</v>
      </c>
      <c r="L68" s="106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21" customHeight="1">
      <c r="A69" s="124" t="s">
        <v>398</v>
      </c>
      <c r="B69" s="78">
        <v>801</v>
      </c>
      <c r="C69" s="67" t="s">
        <v>26</v>
      </c>
      <c r="D69" s="67"/>
      <c r="E69" s="67"/>
      <c r="F69" s="67"/>
      <c r="G69" s="96">
        <f>G70+G80</f>
        <v>37541</v>
      </c>
      <c r="H69" s="99">
        <f>H70+H80</f>
        <v>44.2</v>
      </c>
      <c r="I69" s="99">
        <f t="shared" si="1"/>
        <v>37585.2</v>
      </c>
      <c r="J69" s="99">
        <f>J70+J80</f>
        <v>3663.4</v>
      </c>
      <c r="K69" s="96">
        <f t="shared" si="0"/>
        <v>41248.6</v>
      </c>
      <c r="L69" s="106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36" customHeight="1">
      <c r="A70" s="136" t="s">
        <v>725</v>
      </c>
      <c r="B70" s="78">
        <v>801</v>
      </c>
      <c r="C70" s="67" t="s">
        <v>26</v>
      </c>
      <c r="D70" s="67" t="s">
        <v>106</v>
      </c>
      <c r="E70" s="80"/>
      <c r="F70" s="80"/>
      <c r="G70" s="96">
        <f>G71+G76</f>
        <v>37541</v>
      </c>
      <c r="H70" s="99">
        <f>H71+H76</f>
        <v>44.2</v>
      </c>
      <c r="I70" s="99">
        <f t="shared" si="1"/>
        <v>37585.2</v>
      </c>
      <c r="J70" s="99">
        <f>J71+J76</f>
        <v>3663.4</v>
      </c>
      <c r="K70" s="96">
        <f t="shared" si="0"/>
        <v>41248.6</v>
      </c>
      <c r="L70" s="106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20.25" customHeight="1">
      <c r="A71" s="136" t="s">
        <v>726</v>
      </c>
      <c r="B71" s="78">
        <v>801</v>
      </c>
      <c r="C71" s="67" t="s">
        <v>26</v>
      </c>
      <c r="D71" s="67" t="s">
        <v>106</v>
      </c>
      <c r="E71" s="67" t="s">
        <v>478</v>
      </c>
      <c r="F71" s="67"/>
      <c r="G71" s="96">
        <f>G72+G74</f>
        <v>37262.6</v>
      </c>
      <c r="H71" s="99">
        <f>H72+H74</f>
        <v>44.2</v>
      </c>
      <c r="I71" s="99">
        <f t="shared" si="1"/>
        <v>37306.799999999996</v>
      </c>
      <c r="J71" s="99">
        <f>J72+J74</f>
        <v>3663.4</v>
      </c>
      <c r="K71" s="96">
        <f t="shared" si="0"/>
        <v>40970.2</v>
      </c>
      <c r="L71" s="106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21" customHeight="1">
      <c r="A72" s="136" t="s">
        <v>677</v>
      </c>
      <c r="B72" s="78">
        <v>801</v>
      </c>
      <c r="C72" s="67" t="s">
        <v>26</v>
      </c>
      <c r="D72" s="67" t="s">
        <v>106</v>
      </c>
      <c r="E72" s="67" t="s">
        <v>592</v>
      </c>
      <c r="F72" s="67"/>
      <c r="G72" s="96">
        <f>SUM(G73)</f>
        <v>370.9</v>
      </c>
      <c r="H72" s="99">
        <f>SUM(H73)</f>
        <v>0</v>
      </c>
      <c r="I72" s="99">
        <f t="shared" si="1"/>
        <v>370.9</v>
      </c>
      <c r="J72" s="99">
        <f>SUM(J73)</f>
        <v>0</v>
      </c>
      <c r="K72" s="96">
        <f t="shared" si="0"/>
        <v>370.9</v>
      </c>
      <c r="L72" s="106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21" customHeight="1">
      <c r="A73" s="124" t="s">
        <v>63</v>
      </c>
      <c r="B73" s="78">
        <v>801</v>
      </c>
      <c r="C73" s="67" t="s">
        <v>26</v>
      </c>
      <c r="D73" s="67" t="s">
        <v>106</v>
      </c>
      <c r="E73" s="67" t="s">
        <v>592</v>
      </c>
      <c r="F73" s="67" t="s">
        <v>660</v>
      </c>
      <c r="G73" s="96">
        <v>370.9</v>
      </c>
      <c r="H73" s="104"/>
      <c r="I73" s="99">
        <f t="shared" si="1"/>
        <v>370.9</v>
      </c>
      <c r="J73" s="104"/>
      <c r="K73" s="96">
        <f t="shared" si="0"/>
        <v>370.9</v>
      </c>
      <c r="L73" s="106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21" customHeight="1">
      <c r="A74" s="136" t="s">
        <v>655</v>
      </c>
      <c r="B74" s="78">
        <v>801</v>
      </c>
      <c r="C74" s="67" t="s">
        <v>26</v>
      </c>
      <c r="D74" s="67" t="s">
        <v>106</v>
      </c>
      <c r="E74" s="67" t="s">
        <v>477</v>
      </c>
      <c r="F74" s="67"/>
      <c r="G74" s="96">
        <f>SUM(G75)</f>
        <v>36891.7</v>
      </c>
      <c r="H74" s="99">
        <f>SUM(H75)</f>
        <v>44.2</v>
      </c>
      <c r="I74" s="99">
        <f t="shared" si="1"/>
        <v>36935.899999999994</v>
      </c>
      <c r="J74" s="99">
        <f>SUM(J75)</f>
        <v>3663.4</v>
      </c>
      <c r="K74" s="96">
        <f t="shared" si="0"/>
        <v>40599.299999999996</v>
      </c>
      <c r="L74" s="106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21" customHeight="1">
      <c r="A75" s="124" t="s">
        <v>63</v>
      </c>
      <c r="B75" s="78">
        <v>801</v>
      </c>
      <c r="C75" s="67" t="s">
        <v>26</v>
      </c>
      <c r="D75" s="67" t="s">
        <v>106</v>
      </c>
      <c r="E75" s="67" t="s">
        <v>477</v>
      </c>
      <c r="F75" s="67" t="s">
        <v>660</v>
      </c>
      <c r="G75" s="96">
        <v>36891.7</v>
      </c>
      <c r="H75" s="104">
        <v>44.2</v>
      </c>
      <c r="I75" s="99">
        <f t="shared" si="1"/>
        <v>36935.899999999994</v>
      </c>
      <c r="J75" s="104">
        <f>2509.9+91.1+1062.4</f>
        <v>3663.4</v>
      </c>
      <c r="K75" s="96">
        <f t="shared" si="0"/>
        <v>40599.299999999996</v>
      </c>
      <c r="L75" s="106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8.75" customHeight="1">
      <c r="A76" s="136" t="s">
        <v>441</v>
      </c>
      <c r="B76" s="78">
        <v>801</v>
      </c>
      <c r="C76" s="67" t="s">
        <v>26</v>
      </c>
      <c r="D76" s="67" t="s">
        <v>106</v>
      </c>
      <c r="E76" s="79" t="s">
        <v>433</v>
      </c>
      <c r="F76" s="67"/>
      <c r="G76" s="96">
        <f>G78</f>
        <v>278.4</v>
      </c>
      <c r="H76" s="99">
        <f>H78</f>
        <v>0</v>
      </c>
      <c r="I76" s="99">
        <f t="shared" si="1"/>
        <v>278.4</v>
      </c>
      <c r="J76" s="99">
        <f>J78</f>
        <v>0</v>
      </c>
      <c r="K76" s="96">
        <f t="shared" si="0"/>
        <v>278.4</v>
      </c>
      <c r="L76" s="106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8.75" customHeight="1">
      <c r="A77" s="136" t="s">
        <v>473</v>
      </c>
      <c r="B77" s="78">
        <v>801</v>
      </c>
      <c r="C77" s="67" t="s">
        <v>26</v>
      </c>
      <c r="D77" s="67" t="s">
        <v>106</v>
      </c>
      <c r="E77" s="79" t="s">
        <v>434</v>
      </c>
      <c r="F77" s="67"/>
      <c r="G77" s="96">
        <f aca="true" t="shared" si="5" ref="G77:J78">G78</f>
        <v>278.4</v>
      </c>
      <c r="H77" s="99">
        <f t="shared" si="5"/>
        <v>0</v>
      </c>
      <c r="I77" s="99">
        <f t="shared" si="1"/>
        <v>278.4</v>
      </c>
      <c r="J77" s="99">
        <f t="shared" si="5"/>
        <v>0</v>
      </c>
      <c r="K77" s="96">
        <f t="shared" si="0"/>
        <v>278.4</v>
      </c>
      <c r="L77" s="106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20.25" customHeight="1">
      <c r="A78" s="136" t="s">
        <v>279</v>
      </c>
      <c r="B78" s="78">
        <v>801</v>
      </c>
      <c r="C78" s="67" t="s">
        <v>26</v>
      </c>
      <c r="D78" s="67" t="s">
        <v>106</v>
      </c>
      <c r="E78" s="67" t="s">
        <v>446</v>
      </c>
      <c r="F78" s="67"/>
      <c r="G78" s="96">
        <f t="shared" si="5"/>
        <v>278.4</v>
      </c>
      <c r="H78" s="99">
        <f t="shared" si="5"/>
        <v>0</v>
      </c>
      <c r="I78" s="99">
        <f t="shared" si="1"/>
        <v>278.4</v>
      </c>
      <c r="J78" s="99">
        <f t="shared" si="5"/>
        <v>0</v>
      </c>
      <c r="K78" s="96">
        <f t="shared" si="0"/>
        <v>278.4</v>
      </c>
      <c r="L78" s="106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20.25" customHeight="1">
      <c r="A79" s="124" t="s">
        <v>438</v>
      </c>
      <c r="B79" s="78">
        <v>801</v>
      </c>
      <c r="C79" s="67" t="s">
        <v>26</v>
      </c>
      <c r="D79" s="67" t="s">
        <v>106</v>
      </c>
      <c r="E79" s="67" t="s">
        <v>446</v>
      </c>
      <c r="F79" s="67" t="s">
        <v>277</v>
      </c>
      <c r="G79" s="96">
        <v>278.4</v>
      </c>
      <c r="H79" s="104"/>
      <c r="I79" s="99">
        <f t="shared" si="1"/>
        <v>278.4</v>
      </c>
      <c r="J79" s="104"/>
      <c r="K79" s="96">
        <f t="shared" si="0"/>
        <v>278.4</v>
      </c>
      <c r="L79" s="106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8" customHeight="1" hidden="1">
      <c r="A80" s="135" t="s">
        <v>399</v>
      </c>
      <c r="B80" s="78">
        <v>801</v>
      </c>
      <c r="C80" s="67" t="s">
        <v>26</v>
      </c>
      <c r="D80" s="67" t="s">
        <v>659</v>
      </c>
      <c r="E80" s="67"/>
      <c r="F80" s="67"/>
      <c r="G80" s="96">
        <f>SUM(G81)</f>
        <v>0</v>
      </c>
      <c r="H80" s="104"/>
      <c r="I80" s="99">
        <f t="shared" si="1"/>
        <v>0</v>
      </c>
      <c r="J80" s="104"/>
      <c r="K80" s="96">
        <f t="shared" si="0"/>
        <v>0</v>
      </c>
      <c r="L80" s="106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36" customHeight="1" hidden="1">
      <c r="A81" s="135" t="s">
        <v>430</v>
      </c>
      <c r="B81" s="78">
        <v>801</v>
      </c>
      <c r="C81" s="67" t="s">
        <v>26</v>
      </c>
      <c r="D81" s="67" t="s">
        <v>659</v>
      </c>
      <c r="E81" s="67" t="s">
        <v>431</v>
      </c>
      <c r="F81" s="67"/>
      <c r="G81" s="96">
        <f>SUM(G82)</f>
        <v>0</v>
      </c>
      <c r="H81" s="104"/>
      <c r="I81" s="99">
        <f t="shared" si="1"/>
        <v>0</v>
      </c>
      <c r="J81" s="104"/>
      <c r="K81" s="96">
        <f t="shared" si="0"/>
        <v>0</v>
      </c>
      <c r="L81" s="106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21" customHeight="1" hidden="1">
      <c r="A82" s="120" t="s">
        <v>438</v>
      </c>
      <c r="B82" s="78">
        <v>801</v>
      </c>
      <c r="C82" s="67" t="s">
        <v>26</v>
      </c>
      <c r="D82" s="67" t="s">
        <v>659</v>
      </c>
      <c r="E82" s="67" t="s">
        <v>431</v>
      </c>
      <c r="F82" s="67" t="s">
        <v>277</v>
      </c>
      <c r="G82" s="96"/>
      <c r="H82" s="104"/>
      <c r="I82" s="99">
        <f t="shared" si="1"/>
        <v>0</v>
      </c>
      <c r="J82" s="104"/>
      <c r="K82" s="96">
        <f aca="true" t="shared" si="6" ref="K82:K145">I82+J82</f>
        <v>0</v>
      </c>
      <c r="L82" s="106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6.5">
      <c r="A83" s="120" t="s">
        <v>537</v>
      </c>
      <c r="B83" s="78">
        <v>801</v>
      </c>
      <c r="C83" s="67" t="s">
        <v>27</v>
      </c>
      <c r="D83" s="67"/>
      <c r="E83" s="67"/>
      <c r="F83" s="67"/>
      <c r="G83" s="96">
        <f>G97+G101+G84</f>
        <v>60910.8</v>
      </c>
      <c r="H83" s="99">
        <f>H97+H101+H84</f>
        <v>4352.4</v>
      </c>
      <c r="I83" s="99">
        <f aca="true" t="shared" si="7" ref="I83:I154">H83+G83</f>
        <v>65263.200000000004</v>
      </c>
      <c r="J83" s="99">
        <f>J97+J101+J84+J93</f>
        <v>53987</v>
      </c>
      <c r="K83" s="96">
        <f t="shared" si="6"/>
        <v>119250.20000000001</v>
      </c>
      <c r="L83" s="106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6.5">
      <c r="A84" s="120" t="s">
        <v>727</v>
      </c>
      <c r="B84" s="78">
        <v>801</v>
      </c>
      <c r="C84" s="67" t="s">
        <v>27</v>
      </c>
      <c r="D84" s="67" t="s">
        <v>24</v>
      </c>
      <c r="E84" s="67"/>
      <c r="F84" s="67"/>
      <c r="G84" s="96">
        <f>G85+G90</f>
        <v>1418.3</v>
      </c>
      <c r="H84" s="99">
        <f>H85+H90</f>
        <v>0</v>
      </c>
      <c r="I84" s="99">
        <f t="shared" si="7"/>
        <v>1418.3</v>
      </c>
      <c r="J84" s="99">
        <f>J85+J90</f>
        <v>154.99999999999997</v>
      </c>
      <c r="K84" s="96">
        <f t="shared" si="6"/>
        <v>1573.3</v>
      </c>
      <c r="L84" s="106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6.5">
      <c r="A85" s="120" t="s">
        <v>857</v>
      </c>
      <c r="B85" s="78">
        <v>801</v>
      </c>
      <c r="C85" s="67" t="s">
        <v>27</v>
      </c>
      <c r="D85" s="67" t="s">
        <v>24</v>
      </c>
      <c r="E85" s="67" t="s">
        <v>856</v>
      </c>
      <c r="F85" s="67"/>
      <c r="G85" s="96">
        <f>G86+G88</f>
        <v>1418.3</v>
      </c>
      <c r="H85" s="99">
        <f>H86+H88</f>
        <v>0</v>
      </c>
      <c r="I85" s="99">
        <f t="shared" si="7"/>
        <v>1418.3</v>
      </c>
      <c r="J85" s="99">
        <f>J86+J88</f>
        <v>136.29999999999998</v>
      </c>
      <c r="K85" s="96">
        <f t="shared" si="6"/>
        <v>1554.6</v>
      </c>
      <c r="L85" s="106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35.25" customHeight="1">
      <c r="A86" s="120" t="s">
        <v>841</v>
      </c>
      <c r="B86" s="78">
        <v>801</v>
      </c>
      <c r="C86" s="67" t="s">
        <v>27</v>
      </c>
      <c r="D86" s="67" t="s">
        <v>24</v>
      </c>
      <c r="E86" s="67" t="s">
        <v>858</v>
      </c>
      <c r="F86" s="67"/>
      <c r="G86" s="96">
        <f>G87</f>
        <v>1418.3</v>
      </c>
      <c r="H86" s="99">
        <f>H87</f>
        <v>0</v>
      </c>
      <c r="I86" s="99">
        <f t="shared" si="7"/>
        <v>1418.3</v>
      </c>
      <c r="J86" s="99">
        <f>J87</f>
        <v>-219.6</v>
      </c>
      <c r="K86" s="96">
        <f t="shared" si="6"/>
        <v>1198.7</v>
      </c>
      <c r="L86" s="106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6.5">
      <c r="A87" s="124" t="s">
        <v>63</v>
      </c>
      <c r="B87" s="78">
        <v>801</v>
      </c>
      <c r="C87" s="67" t="s">
        <v>27</v>
      </c>
      <c r="D87" s="67" t="s">
        <v>24</v>
      </c>
      <c r="E87" s="67" t="s">
        <v>858</v>
      </c>
      <c r="F87" s="67" t="s">
        <v>660</v>
      </c>
      <c r="G87" s="96">
        <v>1418.3</v>
      </c>
      <c r="H87" s="104"/>
      <c r="I87" s="99">
        <f t="shared" si="7"/>
        <v>1418.3</v>
      </c>
      <c r="J87" s="104">
        <v>-219.6</v>
      </c>
      <c r="K87" s="96">
        <f t="shared" si="6"/>
        <v>1198.7</v>
      </c>
      <c r="L87" s="106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35.25" customHeight="1">
      <c r="A88" s="124" t="s">
        <v>58</v>
      </c>
      <c r="B88" s="78">
        <v>801</v>
      </c>
      <c r="C88" s="67" t="s">
        <v>27</v>
      </c>
      <c r="D88" s="67" t="s">
        <v>24</v>
      </c>
      <c r="E88" s="67" t="s">
        <v>680</v>
      </c>
      <c r="F88" s="67"/>
      <c r="G88" s="96">
        <f>SUM(G89)</f>
        <v>0</v>
      </c>
      <c r="H88" s="104"/>
      <c r="I88" s="99">
        <f t="shared" si="7"/>
        <v>0</v>
      </c>
      <c r="J88" s="104">
        <f>J89</f>
        <v>355.9</v>
      </c>
      <c r="K88" s="96">
        <f t="shared" si="6"/>
        <v>355.9</v>
      </c>
      <c r="L88" s="106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6.5">
      <c r="A89" s="124" t="s">
        <v>63</v>
      </c>
      <c r="B89" s="78">
        <v>801</v>
      </c>
      <c r="C89" s="67" t="s">
        <v>27</v>
      </c>
      <c r="D89" s="67" t="s">
        <v>24</v>
      </c>
      <c r="E89" s="67" t="s">
        <v>680</v>
      </c>
      <c r="F89" s="67" t="s">
        <v>660</v>
      </c>
      <c r="G89" s="96"/>
      <c r="H89" s="104"/>
      <c r="I89" s="99">
        <f t="shared" si="7"/>
        <v>0</v>
      </c>
      <c r="J89" s="104">
        <v>355.9</v>
      </c>
      <c r="K89" s="96">
        <f t="shared" si="6"/>
        <v>355.9</v>
      </c>
      <c r="L89" s="106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6.5">
      <c r="A90" s="124" t="s">
        <v>367</v>
      </c>
      <c r="B90" s="78">
        <v>801</v>
      </c>
      <c r="C90" s="67" t="s">
        <v>27</v>
      </c>
      <c r="D90" s="67" t="s">
        <v>24</v>
      </c>
      <c r="E90" s="67" t="s">
        <v>471</v>
      </c>
      <c r="F90" s="67"/>
      <c r="G90" s="96">
        <f>SUM(G91)</f>
        <v>0</v>
      </c>
      <c r="H90" s="104"/>
      <c r="I90" s="99">
        <f t="shared" si="7"/>
        <v>0</v>
      </c>
      <c r="J90" s="104">
        <f>J91</f>
        <v>18.7</v>
      </c>
      <c r="K90" s="96">
        <f t="shared" si="6"/>
        <v>18.7</v>
      </c>
      <c r="L90" s="106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53.25" customHeight="1">
      <c r="A91" s="124" t="s">
        <v>57</v>
      </c>
      <c r="B91" s="78">
        <v>801</v>
      </c>
      <c r="C91" s="67" t="s">
        <v>27</v>
      </c>
      <c r="D91" s="67" t="s">
        <v>24</v>
      </c>
      <c r="E91" s="67" t="s">
        <v>702</v>
      </c>
      <c r="F91" s="67"/>
      <c r="G91" s="96">
        <f>SUM(G92)</f>
        <v>0</v>
      </c>
      <c r="H91" s="104"/>
      <c r="I91" s="99">
        <f t="shared" si="7"/>
        <v>0</v>
      </c>
      <c r="J91" s="104">
        <f>J92</f>
        <v>18.7</v>
      </c>
      <c r="K91" s="96">
        <f t="shared" si="6"/>
        <v>18.7</v>
      </c>
      <c r="L91" s="106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6.5">
      <c r="A92" s="124" t="s">
        <v>63</v>
      </c>
      <c r="B92" s="78">
        <v>801</v>
      </c>
      <c r="C92" s="67" t="s">
        <v>27</v>
      </c>
      <c r="D92" s="67" t="s">
        <v>24</v>
      </c>
      <c r="E92" s="67" t="s">
        <v>702</v>
      </c>
      <c r="F92" s="67" t="s">
        <v>660</v>
      </c>
      <c r="G92" s="96"/>
      <c r="H92" s="104"/>
      <c r="I92" s="99">
        <f t="shared" si="7"/>
        <v>0</v>
      </c>
      <c r="J92" s="104">
        <v>18.7</v>
      </c>
      <c r="K92" s="96">
        <f t="shared" si="6"/>
        <v>18.7</v>
      </c>
      <c r="L92" s="106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6.5">
      <c r="A93" s="124" t="s">
        <v>61</v>
      </c>
      <c r="B93" s="78">
        <v>801</v>
      </c>
      <c r="C93" s="67" t="s">
        <v>27</v>
      </c>
      <c r="D93" s="67" t="s">
        <v>109</v>
      </c>
      <c r="E93" s="67"/>
      <c r="F93" s="67"/>
      <c r="G93" s="96"/>
      <c r="H93" s="104"/>
      <c r="I93" s="99"/>
      <c r="J93" s="104">
        <f>J94</f>
        <v>1500</v>
      </c>
      <c r="K93" s="96">
        <f t="shared" si="6"/>
        <v>1500</v>
      </c>
      <c r="L93" s="106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6.5">
      <c r="A94" s="124" t="s">
        <v>312</v>
      </c>
      <c r="B94" s="78">
        <v>801</v>
      </c>
      <c r="C94" s="67" t="s">
        <v>27</v>
      </c>
      <c r="D94" s="67" t="s">
        <v>109</v>
      </c>
      <c r="E94" s="67" t="s">
        <v>310</v>
      </c>
      <c r="F94" s="67"/>
      <c r="G94" s="96"/>
      <c r="H94" s="104"/>
      <c r="I94" s="99"/>
      <c r="J94" s="104">
        <f>J96</f>
        <v>1500</v>
      </c>
      <c r="K94" s="96">
        <f t="shared" si="6"/>
        <v>1500</v>
      </c>
      <c r="L94" s="106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33" customHeight="1">
      <c r="A95" s="124" t="s">
        <v>757</v>
      </c>
      <c r="B95" s="78">
        <v>801</v>
      </c>
      <c r="C95" s="67" t="s">
        <v>27</v>
      </c>
      <c r="D95" s="67" t="s">
        <v>109</v>
      </c>
      <c r="E95" s="67" t="s">
        <v>311</v>
      </c>
      <c r="F95" s="67"/>
      <c r="G95" s="96"/>
      <c r="H95" s="104"/>
      <c r="I95" s="99"/>
      <c r="J95" s="104">
        <f>J96</f>
        <v>1500</v>
      </c>
      <c r="K95" s="96">
        <f t="shared" si="6"/>
        <v>1500</v>
      </c>
      <c r="L95" s="106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6.5">
      <c r="A96" s="133" t="s">
        <v>780</v>
      </c>
      <c r="B96" s="78">
        <v>801</v>
      </c>
      <c r="C96" s="67" t="s">
        <v>27</v>
      </c>
      <c r="D96" s="67" t="s">
        <v>109</v>
      </c>
      <c r="E96" s="67" t="s">
        <v>311</v>
      </c>
      <c r="F96" s="67" t="s">
        <v>334</v>
      </c>
      <c r="G96" s="96"/>
      <c r="H96" s="104"/>
      <c r="I96" s="99"/>
      <c r="J96" s="104">
        <v>1500</v>
      </c>
      <c r="K96" s="96">
        <f t="shared" si="6"/>
        <v>1500</v>
      </c>
      <c r="L96" s="106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21" customHeight="1">
      <c r="A97" s="136" t="s">
        <v>728</v>
      </c>
      <c r="B97" s="78">
        <v>801</v>
      </c>
      <c r="C97" s="67" t="s">
        <v>27</v>
      </c>
      <c r="D97" s="67" t="s">
        <v>589</v>
      </c>
      <c r="E97" s="67"/>
      <c r="F97" s="67"/>
      <c r="G97" s="96">
        <f aca="true" t="shared" si="8" ref="G97:J99">SUM(G98)</f>
        <v>45020</v>
      </c>
      <c r="H97" s="99">
        <f t="shared" si="8"/>
        <v>1195.4</v>
      </c>
      <c r="I97" s="99">
        <f t="shared" si="7"/>
        <v>46215.4</v>
      </c>
      <c r="J97" s="99">
        <f t="shared" si="8"/>
        <v>2332</v>
      </c>
      <c r="K97" s="96">
        <f t="shared" si="6"/>
        <v>48547.4</v>
      </c>
      <c r="L97" s="106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20.25" customHeight="1">
      <c r="A98" s="136" t="s">
        <v>729</v>
      </c>
      <c r="B98" s="78">
        <v>801</v>
      </c>
      <c r="C98" s="67" t="s">
        <v>27</v>
      </c>
      <c r="D98" s="67" t="s">
        <v>589</v>
      </c>
      <c r="E98" s="67" t="s">
        <v>265</v>
      </c>
      <c r="F98" s="67"/>
      <c r="G98" s="96">
        <f t="shared" si="8"/>
        <v>45020</v>
      </c>
      <c r="H98" s="99">
        <f t="shared" si="8"/>
        <v>1195.4</v>
      </c>
      <c r="I98" s="99">
        <f t="shared" si="7"/>
        <v>46215.4</v>
      </c>
      <c r="J98" s="99">
        <f t="shared" si="8"/>
        <v>2332</v>
      </c>
      <c r="K98" s="96">
        <f t="shared" si="6"/>
        <v>48547.4</v>
      </c>
      <c r="L98" s="106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8.75" customHeight="1">
      <c r="A99" s="136" t="s">
        <v>655</v>
      </c>
      <c r="B99" s="78">
        <v>801</v>
      </c>
      <c r="C99" s="67" t="s">
        <v>27</v>
      </c>
      <c r="D99" s="67" t="s">
        <v>589</v>
      </c>
      <c r="E99" s="67" t="s">
        <v>266</v>
      </c>
      <c r="F99" s="67"/>
      <c r="G99" s="96">
        <f t="shared" si="8"/>
        <v>45020</v>
      </c>
      <c r="H99" s="99">
        <f t="shared" si="8"/>
        <v>1195.4</v>
      </c>
      <c r="I99" s="99">
        <f t="shared" si="7"/>
        <v>46215.4</v>
      </c>
      <c r="J99" s="99">
        <f t="shared" si="8"/>
        <v>2332</v>
      </c>
      <c r="K99" s="96">
        <f t="shared" si="6"/>
        <v>48547.4</v>
      </c>
      <c r="L99" s="106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20.25" customHeight="1">
      <c r="A100" s="124" t="s">
        <v>63</v>
      </c>
      <c r="B100" s="78">
        <v>801</v>
      </c>
      <c r="C100" s="67" t="s">
        <v>27</v>
      </c>
      <c r="D100" s="67" t="s">
        <v>589</v>
      </c>
      <c r="E100" s="67" t="s">
        <v>266</v>
      </c>
      <c r="F100" s="67" t="s">
        <v>660</v>
      </c>
      <c r="G100" s="96">
        <f>41790+3230</f>
        <v>45020</v>
      </c>
      <c r="H100" s="104">
        <f>412.5+805-40+17.9</f>
        <v>1195.4</v>
      </c>
      <c r="I100" s="99">
        <f t="shared" si="7"/>
        <v>46215.4</v>
      </c>
      <c r="J100" s="104">
        <v>2332</v>
      </c>
      <c r="K100" s="96">
        <f t="shared" si="6"/>
        <v>48547.4</v>
      </c>
      <c r="L100" s="106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8.75" customHeight="1">
      <c r="A101" s="136" t="s">
        <v>538</v>
      </c>
      <c r="B101" s="78">
        <v>801</v>
      </c>
      <c r="C101" s="67" t="s">
        <v>27</v>
      </c>
      <c r="D101" s="67" t="s">
        <v>626</v>
      </c>
      <c r="E101" s="67"/>
      <c r="F101" s="67"/>
      <c r="G101" s="96">
        <f>SUM(G111)</f>
        <v>14472.5</v>
      </c>
      <c r="H101" s="99">
        <f>SUM(H111,H106)</f>
        <v>3157</v>
      </c>
      <c r="I101" s="99">
        <f t="shared" si="7"/>
        <v>17629.5</v>
      </c>
      <c r="J101" s="99">
        <f>SUM(J111,J106,J102)</f>
        <v>50000</v>
      </c>
      <c r="K101" s="96">
        <f t="shared" si="6"/>
        <v>67629.5</v>
      </c>
      <c r="L101" s="106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8.75" customHeight="1">
      <c r="A102" s="132" t="s">
        <v>179</v>
      </c>
      <c r="B102" s="78">
        <v>801</v>
      </c>
      <c r="C102" s="67" t="s">
        <v>27</v>
      </c>
      <c r="D102" s="67" t="s">
        <v>626</v>
      </c>
      <c r="E102" s="67" t="s">
        <v>686</v>
      </c>
      <c r="F102" s="67"/>
      <c r="G102" s="96"/>
      <c r="H102" s="99"/>
      <c r="I102" s="99"/>
      <c r="J102" s="99">
        <f>J103</f>
        <v>50000</v>
      </c>
      <c r="K102" s="96">
        <f t="shared" si="6"/>
        <v>50000</v>
      </c>
      <c r="L102" s="106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36.75" customHeight="1">
      <c r="A103" s="132" t="s">
        <v>180</v>
      </c>
      <c r="B103" s="78">
        <v>801</v>
      </c>
      <c r="C103" s="67" t="s">
        <v>27</v>
      </c>
      <c r="D103" s="67" t="s">
        <v>626</v>
      </c>
      <c r="E103" s="67" t="s">
        <v>687</v>
      </c>
      <c r="F103" s="67"/>
      <c r="G103" s="96"/>
      <c r="H103" s="99"/>
      <c r="I103" s="99"/>
      <c r="J103" s="99">
        <f>J104</f>
        <v>50000</v>
      </c>
      <c r="K103" s="96">
        <f t="shared" si="6"/>
        <v>50000</v>
      </c>
      <c r="L103" s="106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51.75" customHeight="1">
      <c r="A104" s="132" t="s">
        <v>59</v>
      </c>
      <c r="B104" s="78">
        <v>801</v>
      </c>
      <c r="C104" s="67" t="s">
        <v>27</v>
      </c>
      <c r="D104" s="67" t="s">
        <v>626</v>
      </c>
      <c r="E104" s="67" t="s">
        <v>685</v>
      </c>
      <c r="F104" s="67"/>
      <c r="G104" s="96"/>
      <c r="H104" s="99"/>
      <c r="I104" s="99"/>
      <c r="J104" s="99">
        <f>J105</f>
        <v>50000</v>
      </c>
      <c r="K104" s="96">
        <f t="shared" si="6"/>
        <v>50000</v>
      </c>
      <c r="L104" s="106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8.75" customHeight="1">
      <c r="A105" s="133" t="s">
        <v>780</v>
      </c>
      <c r="B105" s="78">
        <v>801</v>
      </c>
      <c r="C105" s="67" t="s">
        <v>27</v>
      </c>
      <c r="D105" s="67" t="s">
        <v>626</v>
      </c>
      <c r="E105" s="67" t="s">
        <v>685</v>
      </c>
      <c r="F105" s="67" t="s">
        <v>334</v>
      </c>
      <c r="G105" s="96"/>
      <c r="H105" s="99"/>
      <c r="I105" s="99"/>
      <c r="J105" s="99">
        <v>50000</v>
      </c>
      <c r="K105" s="96">
        <f t="shared" si="6"/>
        <v>50000</v>
      </c>
      <c r="L105" s="106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8.75" customHeight="1">
      <c r="A106" s="134" t="s">
        <v>470</v>
      </c>
      <c r="B106" s="78">
        <v>801</v>
      </c>
      <c r="C106" s="67" t="s">
        <v>27</v>
      </c>
      <c r="D106" s="67" t="s">
        <v>626</v>
      </c>
      <c r="E106" s="67" t="s">
        <v>471</v>
      </c>
      <c r="F106" s="67"/>
      <c r="G106" s="96"/>
      <c r="H106" s="99">
        <f aca="true" t="shared" si="9" ref="H106:J108">H107</f>
        <v>2632</v>
      </c>
      <c r="I106" s="99">
        <f t="shared" si="7"/>
        <v>2632</v>
      </c>
      <c r="J106" s="99">
        <f t="shared" si="9"/>
        <v>0</v>
      </c>
      <c r="K106" s="96">
        <f t="shared" si="6"/>
        <v>2632</v>
      </c>
      <c r="L106" s="106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34.5" customHeight="1">
      <c r="A107" s="73" t="s">
        <v>696</v>
      </c>
      <c r="B107" s="78">
        <v>801</v>
      </c>
      <c r="C107" s="67" t="s">
        <v>27</v>
      </c>
      <c r="D107" s="67" t="s">
        <v>626</v>
      </c>
      <c r="E107" s="67" t="s">
        <v>697</v>
      </c>
      <c r="F107" s="67"/>
      <c r="G107" s="96"/>
      <c r="H107" s="99">
        <f t="shared" si="9"/>
        <v>2632</v>
      </c>
      <c r="I107" s="99">
        <f t="shared" si="7"/>
        <v>2632</v>
      </c>
      <c r="J107" s="99">
        <f t="shared" si="9"/>
        <v>0</v>
      </c>
      <c r="K107" s="96">
        <f t="shared" si="6"/>
        <v>2632</v>
      </c>
      <c r="L107" s="106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54.75" customHeight="1">
      <c r="A108" s="73" t="s">
        <v>60</v>
      </c>
      <c r="B108" s="78">
        <v>801</v>
      </c>
      <c r="C108" s="67" t="s">
        <v>27</v>
      </c>
      <c r="D108" s="67" t="s">
        <v>626</v>
      </c>
      <c r="E108" s="67" t="s">
        <v>85</v>
      </c>
      <c r="F108" s="67"/>
      <c r="G108" s="96"/>
      <c r="H108" s="99">
        <f t="shared" si="9"/>
        <v>2632</v>
      </c>
      <c r="I108" s="99">
        <f t="shared" si="7"/>
        <v>2632</v>
      </c>
      <c r="J108" s="99">
        <f t="shared" si="9"/>
        <v>0</v>
      </c>
      <c r="K108" s="96">
        <f t="shared" si="6"/>
        <v>2632</v>
      </c>
      <c r="L108" s="106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8.75" customHeight="1">
      <c r="A109" s="73" t="s">
        <v>698</v>
      </c>
      <c r="B109" s="78">
        <v>801</v>
      </c>
      <c r="C109" s="67" t="s">
        <v>27</v>
      </c>
      <c r="D109" s="67" t="s">
        <v>626</v>
      </c>
      <c r="E109" s="67" t="s">
        <v>85</v>
      </c>
      <c r="F109" s="67" t="s">
        <v>334</v>
      </c>
      <c r="G109" s="96"/>
      <c r="H109" s="99">
        <v>2632</v>
      </c>
      <c r="I109" s="99">
        <f t="shared" si="7"/>
        <v>2632</v>
      </c>
      <c r="J109" s="99"/>
      <c r="K109" s="96">
        <f t="shared" si="6"/>
        <v>2632</v>
      </c>
      <c r="L109" s="106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8.75" customHeight="1">
      <c r="A110" s="146" t="s">
        <v>441</v>
      </c>
      <c r="B110" s="78">
        <v>801</v>
      </c>
      <c r="C110" s="67" t="s">
        <v>27</v>
      </c>
      <c r="D110" s="67" t="s">
        <v>626</v>
      </c>
      <c r="E110" s="67" t="s">
        <v>433</v>
      </c>
      <c r="F110" s="67"/>
      <c r="G110" s="96">
        <f>G111</f>
        <v>14472.5</v>
      </c>
      <c r="H110" s="99">
        <f>H111</f>
        <v>525</v>
      </c>
      <c r="I110" s="99">
        <f t="shared" si="7"/>
        <v>14997.5</v>
      </c>
      <c r="J110" s="99">
        <f>J111</f>
        <v>0</v>
      </c>
      <c r="K110" s="96">
        <f t="shared" si="6"/>
        <v>14997.5</v>
      </c>
      <c r="L110" s="106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9.5" customHeight="1">
      <c r="A111" s="146" t="s">
        <v>470</v>
      </c>
      <c r="B111" s="78">
        <v>801</v>
      </c>
      <c r="C111" s="67" t="s">
        <v>27</v>
      </c>
      <c r="D111" s="67" t="s">
        <v>626</v>
      </c>
      <c r="E111" s="67" t="s">
        <v>434</v>
      </c>
      <c r="F111" s="67"/>
      <c r="G111" s="96">
        <f>G112+G115</f>
        <v>14472.5</v>
      </c>
      <c r="H111" s="99">
        <f>H112+H115</f>
        <v>525</v>
      </c>
      <c r="I111" s="99">
        <f t="shared" si="7"/>
        <v>14997.5</v>
      </c>
      <c r="J111" s="99">
        <f>J112+J115</f>
        <v>0</v>
      </c>
      <c r="K111" s="96">
        <f t="shared" si="6"/>
        <v>14997.5</v>
      </c>
      <c r="L111" s="106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36" customHeight="1">
      <c r="A112" s="124" t="s">
        <v>400</v>
      </c>
      <c r="B112" s="78">
        <v>801</v>
      </c>
      <c r="C112" s="67" t="s">
        <v>27</v>
      </c>
      <c r="D112" s="67" t="s">
        <v>626</v>
      </c>
      <c r="E112" s="67" t="s">
        <v>450</v>
      </c>
      <c r="F112" s="67"/>
      <c r="G112" s="96">
        <f>SUM(G114)</f>
        <v>2472.5</v>
      </c>
      <c r="H112" s="99">
        <f>SUM(H113:H114)</f>
        <v>525</v>
      </c>
      <c r="I112" s="99">
        <f t="shared" si="7"/>
        <v>2997.5</v>
      </c>
      <c r="J112" s="99">
        <f>SUM(J113:J114)</f>
        <v>0</v>
      </c>
      <c r="K112" s="96">
        <f t="shared" si="6"/>
        <v>2997.5</v>
      </c>
      <c r="L112" s="106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9.5" customHeight="1">
      <c r="A113" s="73" t="s">
        <v>780</v>
      </c>
      <c r="B113" s="78">
        <v>801</v>
      </c>
      <c r="C113" s="67" t="s">
        <v>27</v>
      </c>
      <c r="D113" s="67" t="s">
        <v>626</v>
      </c>
      <c r="E113" s="67" t="s">
        <v>450</v>
      </c>
      <c r="F113" s="67" t="s">
        <v>334</v>
      </c>
      <c r="G113" s="96"/>
      <c r="H113" s="99">
        <v>525</v>
      </c>
      <c r="I113" s="99">
        <f t="shared" si="7"/>
        <v>525</v>
      </c>
      <c r="J113" s="99"/>
      <c r="K113" s="96">
        <f t="shared" si="6"/>
        <v>525</v>
      </c>
      <c r="L113" s="106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8.75" customHeight="1">
      <c r="A114" s="136" t="s">
        <v>733</v>
      </c>
      <c r="B114" s="78">
        <v>801</v>
      </c>
      <c r="C114" s="67" t="s">
        <v>27</v>
      </c>
      <c r="D114" s="67" t="s">
        <v>626</v>
      </c>
      <c r="E114" s="67" t="s">
        <v>450</v>
      </c>
      <c r="F114" s="67" t="s">
        <v>318</v>
      </c>
      <c r="G114" s="96">
        <v>2472.5</v>
      </c>
      <c r="H114" s="104"/>
      <c r="I114" s="99">
        <f t="shared" si="7"/>
        <v>2472.5</v>
      </c>
      <c r="J114" s="104"/>
      <c r="K114" s="96">
        <f t="shared" si="6"/>
        <v>2472.5</v>
      </c>
      <c r="L114" s="106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12" s="38" customFormat="1" ht="33.75" customHeight="1">
      <c r="A115" s="136" t="s">
        <v>448</v>
      </c>
      <c r="B115" s="78">
        <v>801</v>
      </c>
      <c r="C115" s="67" t="s">
        <v>27</v>
      </c>
      <c r="D115" s="67" t="s">
        <v>626</v>
      </c>
      <c r="E115" s="78" t="s">
        <v>452</v>
      </c>
      <c r="F115" s="67"/>
      <c r="G115" s="96">
        <f>G116</f>
        <v>12000</v>
      </c>
      <c r="H115" s="99">
        <f>H116</f>
        <v>0</v>
      </c>
      <c r="I115" s="99">
        <f t="shared" si="7"/>
        <v>12000</v>
      </c>
      <c r="J115" s="99">
        <f>J116</f>
        <v>0</v>
      </c>
      <c r="K115" s="96">
        <f t="shared" si="6"/>
        <v>12000</v>
      </c>
      <c r="L115" s="106"/>
    </row>
    <row r="116" spans="1:12" s="38" customFormat="1" ht="18.75" customHeight="1">
      <c r="A116" s="136" t="s">
        <v>733</v>
      </c>
      <c r="B116" s="78">
        <v>801</v>
      </c>
      <c r="C116" s="67" t="s">
        <v>27</v>
      </c>
      <c r="D116" s="67" t="s">
        <v>626</v>
      </c>
      <c r="E116" s="78" t="s">
        <v>452</v>
      </c>
      <c r="F116" s="67" t="s">
        <v>318</v>
      </c>
      <c r="G116" s="96">
        <v>12000</v>
      </c>
      <c r="H116" s="104"/>
      <c r="I116" s="99">
        <f t="shared" si="7"/>
        <v>12000</v>
      </c>
      <c r="J116" s="104"/>
      <c r="K116" s="96">
        <f t="shared" si="6"/>
        <v>12000</v>
      </c>
      <c r="L116" s="106"/>
    </row>
    <row r="117" spans="1:26" ht="19.5" customHeight="1">
      <c r="A117" s="136" t="s">
        <v>507</v>
      </c>
      <c r="B117" s="78">
        <v>801</v>
      </c>
      <c r="C117" s="67" t="s">
        <v>625</v>
      </c>
      <c r="D117" s="67"/>
      <c r="E117" s="67"/>
      <c r="F117" s="67"/>
      <c r="G117" s="96">
        <f>SUM(G118)</f>
        <v>6385.3</v>
      </c>
      <c r="H117" s="99">
        <f>SUM(H118)</f>
        <v>0</v>
      </c>
      <c r="I117" s="99">
        <f t="shared" si="7"/>
        <v>6385.3</v>
      </c>
      <c r="J117" s="99">
        <f>SUM(J118)</f>
        <v>1033.5</v>
      </c>
      <c r="K117" s="96">
        <f t="shared" si="6"/>
        <v>7418.8</v>
      </c>
      <c r="L117" s="106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20.25" customHeight="1">
      <c r="A118" s="136" t="s">
        <v>307</v>
      </c>
      <c r="B118" s="78">
        <v>801</v>
      </c>
      <c r="C118" s="67" t="s">
        <v>625</v>
      </c>
      <c r="D118" s="67" t="s">
        <v>625</v>
      </c>
      <c r="E118" s="67"/>
      <c r="F118" s="67"/>
      <c r="G118" s="96">
        <f>G119+G126+G130</f>
        <v>6385.3</v>
      </c>
      <c r="H118" s="99">
        <f>H119+H126+H130</f>
        <v>0</v>
      </c>
      <c r="I118" s="99">
        <f t="shared" si="7"/>
        <v>6385.3</v>
      </c>
      <c r="J118" s="99">
        <f>J119+J126+J130</f>
        <v>1033.5</v>
      </c>
      <c r="K118" s="96">
        <f t="shared" si="6"/>
        <v>7418.8</v>
      </c>
      <c r="L118" s="106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8.75" customHeight="1">
      <c r="A119" s="136" t="s">
        <v>777</v>
      </c>
      <c r="B119" s="78">
        <v>801</v>
      </c>
      <c r="C119" s="67" t="s">
        <v>625</v>
      </c>
      <c r="D119" s="67" t="s">
        <v>625</v>
      </c>
      <c r="E119" s="67" t="s">
        <v>456</v>
      </c>
      <c r="F119" s="67"/>
      <c r="G119" s="96">
        <f>SUM(G120,G122,G124)</f>
        <v>5685.3</v>
      </c>
      <c r="H119" s="99">
        <f>SUM(H120,H122,H124)</f>
        <v>0</v>
      </c>
      <c r="I119" s="99">
        <f t="shared" si="7"/>
        <v>5685.3</v>
      </c>
      <c r="J119" s="99">
        <f>SUM(J120,J122,J124)</f>
        <v>837.9</v>
      </c>
      <c r="K119" s="96">
        <f t="shared" si="6"/>
        <v>6523.2</v>
      </c>
      <c r="L119" s="106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8.75" customHeight="1">
      <c r="A120" s="136" t="s">
        <v>678</v>
      </c>
      <c r="B120" s="78">
        <v>801</v>
      </c>
      <c r="C120" s="67" t="s">
        <v>625</v>
      </c>
      <c r="D120" s="67" t="s">
        <v>625</v>
      </c>
      <c r="E120" s="67" t="s">
        <v>455</v>
      </c>
      <c r="F120" s="67"/>
      <c r="G120" s="96">
        <f>SUM(G121)</f>
        <v>804.5</v>
      </c>
      <c r="H120" s="99">
        <f>SUM(H121)</f>
        <v>0</v>
      </c>
      <c r="I120" s="99">
        <f t="shared" si="7"/>
        <v>804.5</v>
      </c>
      <c r="J120" s="99">
        <f>SUM(J121)</f>
        <v>319.6</v>
      </c>
      <c r="K120" s="96">
        <f t="shared" si="6"/>
        <v>1124.1</v>
      </c>
      <c r="L120" s="106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8.75" customHeight="1">
      <c r="A121" s="136" t="s">
        <v>227</v>
      </c>
      <c r="B121" s="78">
        <v>801</v>
      </c>
      <c r="C121" s="67" t="s">
        <v>625</v>
      </c>
      <c r="D121" s="67" t="s">
        <v>625</v>
      </c>
      <c r="E121" s="67" t="s">
        <v>455</v>
      </c>
      <c r="F121" s="67" t="s">
        <v>652</v>
      </c>
      <c r="G121" s="96">
        <v>804.5</v>
      </c>
      <c r="H121" s="104"/>
      <c r="I121" s="99">
        <f t="shared" si="7"/>
        <v>804.5</v>
      </c>
      <c r="J121" s="104">
        <v>319.6</v>
      </c>
      <c r="K121" s="96">
        <f t="shared" si="6"/>
        <v>1124.1</v>
      </c>
      <c r="L121" s="106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8.75" customHeight="1">
      <c r="A122" s="136" t="s">
        <v>677</v>
      </c>
      <c r="B122" s="78">
        <v>801</v>
      </c>
      <c r="C122" s="67" t="s">
        <v>625</v>
      </c>
      <c r="D122" s="67" t="s">
        <v>625</v>
      </c>
      <c r="E122" s="67" t="s">
        <v>14</v>
      </c>
      <c r="F122" s="67"/>
      <c r="G122" s="96">
        <f>SUM(G123)</f>
        <v>192.8</v>
      </c>
      <c r="H122" s="99">
        <f>SUM(H123)</f>
        <v>0</v>
      </c>
      <c r="I122" s="99">
        <f t="shared" si="7"/>
        <v>192.8</v>
      </c>
      <c r="J122" s="99">
        <f>SUM(J123)</f>
        <v>0</v>
      </c>
      <c r="K122" s="96">
        <f t="shared" si="6"/>
        <v>192.8</v>
      </c>
      <c r="L122" s="106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8.75" customHeight="1">
      <c r="A123" s="136" t="s">
        <v>63</v>
      </c>
      <c r="B123" s="78">
        <v>801</v>
      </c>
      <c r="C123" s="67" t="s">
        <v>625</v>
      </c>
      <c r="D123" s="67" t="s">
        <v>625</v>
      </c>
      <c r="E123" s="67" t="s">
        <v>14</v>
      </c>
      <c r="F123" s="67" t="s">
        <v>660</v>
      </c>
      <c r="G123" s="96">
        <v>192.8</v>
      </c>
      <c r="H123" s="104"/>
      <c r="I123" s="99">
        <f t="shared" si="7"/>
        <v>192.8</v>
      </c>
      <c r="J123" s="104"/>
      <c r="K123" s="96">
        <f t="shared" si="6"/>
        <v>192.8</v>
      </c>
      <c r="L123" s="106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44" s="46" customFormat="1" ht="18.75" customHeight="1">
      <c r="A124" s="124" t="s">
        <v>655</v>
      </c>
      <c r="B124" s="78">
        <v>801</v>
      </c>
      <c r="C124" s="67" t="s">
        <v>625</v>
      </c>
      <c r="D124" s="67" t="s">
        <v>625</v>
      </c>
      <c r="E124" s="67" t="s">
        <v>13</v>
      </c>
      <c r="F124" s="67"/>
      <c r="G124" s="96">
        <f>SUM(G125)</f>
        <v>4688</v>
      </c>
      <c r="H124" s="99">
        <f>SUM(H125)</f>
        <v>0</v>
      </c>
      <c r="I124" s="99">
        <f t="shared" si="7"/>
        <v>4688</v>
      </c>
      <c r="J124" s="99">
        <f>SUM(J125)</f>
        <v>518.3</v>
      </c>
      <c r="K124" s="96">
        <f t="shared" si="6"/>
        <v>5206.3</v>
      </c>
      <c r="L124" s="106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</row>
    <row r="125" spans="1:139" s="46" customFormat="1" ht="18.75" customHeight="1">
      <c r="A125" s="136" t="s">
        <v>63</v>
      </c>
      <c r="B125" s="78">
        <v>801</v>
      </c>
      <c r="C125" s="67" t="s">
        <v>625</v>
      </c>
      <c r="D125" s="67" t="s">
        <v>625</v>
      </c>
      <c r="E125" s="67" t="s">
        <v>13</v>
      </c>
      <c r="F125" s="67" t="s">
        <v>660</v>
      </c>
      <c r="G125" s="96">
        <v>4688</v>
      </c>
      <c r="H125" s="104"/>
      <c r="I125" s="99">
        <f t="shared" si="7"/>
        <v>4688</v>
      </c>
      <c r="J125" s="104">
        <f>298.7+219.6</f>
        <v>518.3</v>
      </c>
      <c r="K125" s="96">
        <f t="shared" si="6"/>
        <v>5206.3</v>
      </c>
      <c r="L125" s="106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</row>
    <row r="126" spans="1:139" ht="18.75" customHeight="1" hidden="1">
      <c r="A126" s="124" t="s">
        <v>286</v>
      </c>
      <c r="B126" s="78">
        <v>801</v>
      </c>
      <c r="C126" s="67" t="s">
        <v>625</v>
      </c>
      <c r="D126" s="67" t="s">
        <v>625</v>
      </c>
      <c r="E126" s="67" t="s">
        <v>591</v>
      </c>
      <c r="F126" s="67"/>
      <c r="G126" s="96">
        <f>G127</f>
        <v>0</v>
      </c>
      <c r="H126" s="104"/>
      <c r="I126" s="99">
        <f t="shared" si="7"/>
        <v>0</v>
      </c>
      <c r="J126" s="104"/>
      <c r="K126" s="96">
        <f t="shared" si="6"/>
        <v>0</v>
      </c>
      <c r="L126" s="106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</row>
    <row r="127" spans="1:139" ht="18.75" customHeight="1" hidden="1">
      <c r="A127" s="146" t="s">
        <v>393</v>
      </c>
      <c r="B127" s="78">
        <v>801</v>
      </c>
      <c r="C127" s="67" t="s">
        <v>625</v>
      </c>
      <c r="D127" s="67" t="s">
        <v>625</v>
      </c>
      <c r="E127" s="67" t="s">
        <v>633</v>
      </c>
      <c r="F127" s="67"/>
      <c r="G127" s="96">
        <f>G128</f>
        <v>0</v>
      </c>
      <c r="H127" s="104"/>
      <c r="I127" s="99">
        <f t="shared" si="7"/>
        <v>0</v>
      </c>
      <c r="J127" s="104"/>
      <c r="K127" s="96">
        <f t="shared" si="6"/>
        <v>0</v>
      </c>
      <c r="L127" s="106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</row>
    <row r="128" spans="1:139" ht="18.75" customHeight="1" hidden="1">
      <c r="A128" s="136" t="s">
        <v>653</v>
      </c>
      <c r="B128" s="78">
        <v>801</v>
      </c>
      <c r="C128" s="67" t="s">
        <v>625</v>
      </c>
      <c r="D128" s="67" t="s">
        <v>625</v>
      </c>
      <c r="E128" s="67" t="s">
        <v>633</v>
      </c>
      <c r="F128" s="67" t="s">
        <v>652</v>
      </c>
      <c r="G128" s="96"/>
      <c r="H128" s="104"/>
      <c r="I128" s="99">
        <f t="shared" si="7"/>
        <v>0</v>
      </c>
      <c r="J128" s="104"/>
      <c r="K128" s="96">
        <f t="shared" si="6"/>
        <v>0</v>
      </c>
      <c r="L128" s="106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</row>
    <row r="129" spans="1:139" ht="18.75" customHeight="1">
      <c r="A129" s="146" t="s">
        <v>441</v>
      </c>
      <c r="B129" s="78">
        <v>801</v>
      </c>
      <c r="C129" s="67" t="s">
        <v>625</v>
      </c>
      <c r="D129" s="67" t="s">
        <v>625</v>
      </c>
      <c r="E129" s="67" t="s">
        <v>433</v>
      </c>
      <c r="F129" s="67"/>
      <c r="G129" s="96">
        <f>G130</f>
        <v>700</v>
      </c>
      <c r="H129" s="99">
        <f>H130</f>
        <v>0</v>
      </c>
      <c r="I129" s="99">
        <f t="shared" si="7"/>
        <v>700</v>
      </c>
      <c r="J129" s="99">
        <f>J130</f>
        <v>195.6</v>
      </c>
      <c r="K129" s="96">
        <f t="shared" si="6"/>
        <v>895.6</v>
      </c>
      <c r="L129" s="106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</row>
    <row r="130" spans="1:139" ht="18.75" customHeight="1">
      <c r="A130" s="146" t="s">
        <v>470</v>
      </c>
      <c r="B130" s="78">
        <v>801</v>
      </c>
      <c r="C130" s="67" t="s">
        <v>625</v>
      </c>
      <c r="D130" s="67" t="s">
        <v>625</v>
      </c>
      <c r="E130" s="67" t="s">
        <v>434</v>
      </c>
      <c r="F130" s="67"/>
      <c r="G130" s="96">
        <f aca="true" t="shared" si="10" ref="G130:J131">SUM(G131)</f>
        <v>700</v>
      </c>
      <c r="H130" s="99">
        <f t="shared" si="10"/>
        <v>0</v>
      </c>
      <c r="I130" s="99">
        <f t="shared" si="7"/>
        <v>700</v>
      </c>
      <c r="J130" s="99">
        <f t="shared" si="10"/>
        <v>195.6</v>
      </c>
      <c r="K130" s="96">
        <f t="shared" si="6"/>
        <v>895.6</v>
      </c>
      <c r="L130" s="106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</row>
    <row r="131" spans="1:139" ht="20.25" customHeight="1">
      <c r="A131" s="136" t="s">
        <v>279</v>
      </c>
      <c r="B131" s="78">
        <v>801</v>
      </c>
      <c r="C131" s="67" t="s">
        <v>625</v>
      </c>
      <c r="D131" s="67" t="s">
        <v>625</v>
      </c>
      <c r="E131" s="67" t="s">
        <v>446</v>
      </c>
      <c r="F131" s="67"/>
      <c r="G131" s="96">
        <f t="shared" si="10"/>
        <v>700</v>
      </c>
      <c r="H131" s="99">
        <f t="shared" si="10"/>
        <v>0</v>
      </c>
      <c r="I131" s="99">
        <f t="shared" si="7"/>
        <v>700</v>
      </c>
      <c r="J131" s="99">
        <f t="shared" si="10"/>
        <v>195.6</v>
      </c>
      <c r="K131" s="96">
        <f t="shared" si="6"/>
        <v>895.6</v>
      </c>
      <c r="L131" s="106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</row>
    <row r="132" spans="1:139" s="47" customFormat="1" ht="21" customHeight="1">
      <c r="A132" s="120" t="s">
        <v>438</v>
      </c>
      <c r="B132" s="78">
        <v>801</v>
      </c>
      <c r="C132" s="67" t="s">
        <v>625</v>
      </c>
      <c r="D132" s="67" t="s">
        <v>625</v>
      </c>
      <c r="E132" s="67" t="s">
        <v>446</v>
      </c>
      <c r="F132" s="67" t="s">
        <v>277</v>
      </c>
      <c r="G132" s="96">
        <v>700</v>
      </c>
      <c r="H132" s="104"/>
      <c r="I132" s="99">
        <f t="shared" si="7"/>
        <v>700</v>
      </c>
      <c r="J132" s="104">
        <v>195.6</v>
      </c>
      <c r="K132" s="96">
        <f t="shared" si="6"/>
        <v>895.6</v>
      </c>
      <c r="L132" s="106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</row>
    <row r="133" spans="1:139" s="48" customFormat="1" ht="18.75" customHeight="1" hidden="1">
      <c r="A133" s="136" t="s">
        <v>290</v>
      </c>
      <c r="B133" s="78">
        <v>801</v>
      </c>
      <c r="C133" s="67" t="s">
        <v>109</v>
      </c>
      <c r="D133" s="67"/>
      <c r="E133" s="67"/>
      <c r="F133" s="67"/>
      <c r="G133" s="96">
        <f>G134+G138</f>
        <v>0</v>
      </c>
      <c r="H133" s="104"/>
      <c r="I133" s="99">
        <f t="shared" si="7"/>
        <v>0</v>
      </c>
      <c r="J133" s="104"/>
      <c r="K133" s="96">
        <f t="shared" si="6"/>
        <v>0</v>
      </c>
      <c r="L133" s="106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</row>
    <row r="134" spans="1:12" s="38" customFormat="1" ht="18.75" customHeight="1" hidden="1">
      <c r="A134" s="136" t="s">
        <v>314</v>
      </c>
      <c r="B134" s="78">
        <v>801</v>
      </c>
      <c r="C134" s="67" t="s">
        <v>109</v>
      </c>
      <c r="D134" s="67" t="s">
        <v>24</v>
      </c>
      <c r="E134" s="81"/>
      <c r="F134" s="67"/>
      <c r="G134" s="96">
        <f>G135</f>
        <v>0</v>
      </c>
      <c r="H134" s="104"/>
      <c r="I134" s="99">
        <f t="shared" si="7"/>
        <v>0</v>
      </c>
      <c r="J134" s="104"/>
      <c r="K134" s="96">
        <f t="shared" si="6"/>
        <v>0</v>
      </c>
      <c r="L134" s="106"/>
    </row>
    <row r="135" spans="1:12" s="38" customFormat="1" ht="18.75" customHeight="1" hidden="1">
      <c r="A135" s="124" t="s">
        <v>5</v>
      </c>
      <c r="B135" s="78">
        <v>801</v>
      </c>
      <c r="C135" s="67" t="s">
        <v>109</v>
      </c>
      <c r="D135" s="67" t="s">
        <v>24</v>
      </c>
      <c r="E135" s="67" t="s">
        <v>248</v>
      </c>
      <c r="F135" s="67"/>
      <c r="G135" s="96">
        <f>G136</f>
        <v>0</v>
      </c>
      <c r="H135" s="104"/>
      <c r="I135" s="99">
        <f t="shared" si="7"/>
        <v>0</v>
      </c>
      <c r="J135" s="104"/>
      <c r="K135" s="96">
        <f t="shared" si="6"/>
        <v>0</v>
      </c>
      <c r="L135" s="106"/>
    </row>
    <row r="136" spans="1:12" s="38" customFormat="1" ht="18.75" customHeight="1" hidden="1">
      <c r="A136" s="135" t="s">
        <v>249</v>
      </c>
      <c r="B136" s="78">
        <v>801</v>
      </c>
      <c r="C136" s="67" t="s">
        <v>109</v>
      </c>
      <c r="D136" s="67" t="s">
        <v>24</v>
      </c>
      <c r="E136" s="67" t="s">
        <v>250</v>
      </c>
      <c r="F136" s="67"/>
      <c r="G136" s="96">
        <f>G137</f>
        <v>0</v>
      </c>
      <c r="H136" s="104"/>
      <c r="I136" s="99">
        <f t="shared" si="7"/>
        <v>0</v>
      </c>
      <c r="J136" s="104"/>
      <c r="K136" s="96">
        <f t="shared" si="6"/>
        <v>0</v>
      </c>
      <c r="L136" s="106"/>
    </row>
    <row r="137" spans="1:12" s="38" customFormat="1" ht="18.75" customHeight="1" hidden="1">
      <c r="A137" s="135" t="s">
        <v>651</v>
      </c>
      <c r="B137" s="78">
        <v>801</v>
      </c>
      <c r="C137" s="67" t="s">
        <v>109</v>
      </c>
      <c r="D137" s="67" t="s">
        <v>24</v>
      </c>
      <c r="E137" s="67" t="s">
        <v>250</v>
      </c>
      <c r="F137" s="67" t="s">
        <v>374</v>
      </c>
      <c r="G137" s="96"/>
      <c r="H137" s="104"/>
      <c r="I137" s="99">
        <f t="shared" si="7"/>
        <v>0</v>
      </c>
      <c r="J137" s="104"/>
      <c r="K137" s="96">
        <f t="shared" si="6"/>
        <v>0</v>
      </c>
      <c r="L137" s="106"/>
    </row>
    <row r="138" spans="1:12" s="38" customFormat="1" ht="18.75" customHeight="1" hidden="1">
      <c r="A138" s="124" t="s">
        <v>791</v>
      </c>
      <c r="B138" s="78">
        <v>801</v>
      </c>
      <c r="C138" s="67" t="s">
        <v>109</v>
      </c>
      <c r="D138" s="67" t="s">
        <v>27</v>
      </c>
      <c r="E138" s="67"/>
      <c r="F138" s="67"/>
      <c r="G138" s="96">
        <f>G139</f>
        <v>0</v>
      </c>
      <c r="H138" s="104"/>
      <c r="I138" s="99">
        <f t="shared" si="7"/>
        <v>0</v>
      </c>
      <c r="J138" s="104"/>
      <c r="K138" s="96">
        <f t="shared" si="6"/>
        <v>0</v>
      </c>
      <c r="L138" s="106"/>
    </row>
    <row r="139" spans="1:12" s="38" customFormat="1" ht="18.75" customHeight="1" hidden="1">
      <c r="A139" s="146" t="s">
        <v>441</v>
      </c>
      <c r="B139" s="78">
        <v>801</v>
      </c>
      <c r="C139" s="67" t="s">
        <v>109</v>
      </c>
      <c r="D139" s="67" t="s">
        <v>27</v>
      </c>
      <c r="E139" s="67" t="s">
        <v>433</v>
      </c>
      <c r="F139" s="67"/>
      <c r="G139" s="96">
        <f>G140</f>
        <v>0</v>
      </c>
      <c r="H139" s="104"/>
      <c r="I139" s="99">
        <f t="shared" si="7"/>
        <v>0</v>
      </c>
      <c r="J139" s="104"/>
      <c r="K139" s="96">
        <f t="shared" si="6"/>
        <v>0</v>
      </c>
      <c r="L139" s="106"/>
    </row>
    <row r="140" spans="1:12" s="38" customFormat="1" ht="18.75" customHeight="1" hidden="1">
      <c r="A140" s="146" t="s">
        <v>470</v>
      </c>
      <c r="B140" s="78">
        <v>801</v>
      </c>
      <c r="C140" s="67" t="s">
        <v>109</v>
      </c>
      <c r="D140" s="67" t="s">
        <v>27</v>
      </c>
      <c r="E140" s="67" t="s">
        <v>434</v>
      </c>
      <c r="F140" s="67"/>
      <c r="G140" s="96">
        <f>G141</f>
        <v>0</v>
      </c>
      <c r="H140" s="104"/>
      <c r="I140" s="99">
        <f t="shared" si="7"/>
        <v>0</v>
      </c>
      <c r="J140" s="104"/>
      <c r="K140" s="96">
        <f t="shared" si="6"/>
        <v>0</v>
      </c>
      <c r="L140" s="106"/>
    </row>
    <row r="141" spans="1:12" s="38" customFormat="1" ht="33.75" customHeight="1" hidden="1">
      <c r="A141" s="120" t="s">
        <v>451</v>
      </c>
      <c r="B141" s="78">
        <v>801</v>
      </c>
      <c r="C141" s="67" t="s">
        <v>109</v>
      </c>
      <c r="D141" s="67" t="s">
        <v>27</v>
      </c>
      <c r="E141" s="67" t="s">
        <v>449</v>
      </c>
      <c r="F141" s="67"/>
      <c r="G141" s="96">
        <f>G142</f>
        <v>0</v>
      </c>
      <c r="H141" s="104"/>
      <c r="I141" s="99">
        <f t="shared" si="7"/>
        <v>0</v>
      </c>
      <c r="J141" s="104"/>
      <c r="K141" s="96">
        <f t="shared" si="6"/>
        <v>0</v>
      </c>
      <c r="L141" s="106"/>
    </row>
    <row r="142" spans="1:12" s="38" customFormat="1" ht="18.75" customHeight="1" hidden="1">
      <c r="A142" s="120" t="s">
        <v>438</v>
      </c>
      <c r="B142" s="78">
        <v>801</v>
      </c>
      <c r="C142" s="67" t="s">
        <v>109</v>
      </c>
      <c r="D142" s="67" t="s">
        <v>27</v>
      </c>
      <c r="E142" s="67" t="s">
        <v>449</v>
      </c>
      <c r="F142" s="67" t="s">
        <v>277</v>
      </c>
      <c r="G142" s="96"/>
      <c r="H142" s="104"/>
      <c r="I142" s="99">
        <f t="shared" si="7"/>
        <v>0</v>
      </c>
      <c r="J142" s="104"/>
      <c r="K142" s="96">
        <f t="shared" si="6"/>
        <v>0</v>
      </c>
      <c r="L142" s="106"/>
    </row>
    <row r="143" spans="1:26" ht="17.25" customHeight="1">
      <c r="A143" s="124" t="s">
        <v>510</v>
      </c>
      <c r="B143" s="78">
        <v>801</v>
      </c>
      <c r="C143" s="67" t="s">
        <v>589</v>
      </c>
      <c r="D143" s="67"/>
      <c r="E143" s="67"/>
      <c r="F143" s="67"/>
      <c r="G143" s="96">
        <f>SUM(G144,G148)</f>
        <v>19157.2</v>
      </c>
      <c r="H143" s="99">
        <f>SUM(H144,H148)</f>
        <v>419.70000000000005</v>
      </c>
      <c r="I143" s="99">
        <f t="shared" si="7"/>
        <v>19576.9</v>
      </c>
      <c r="J143" s="99">
        <f>SUM(J144,J148)</f>
        <v>7503</v>
      </c>
      <c r="K143" s="96">
        <f t="shared" si="6"/>
        <v>27079.9</v>
      </c>
      <c r="L143" s="106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8" customHeight="1">
      <c r="A144" s="136" t="s">
        <v>807</v>
      </c>
      <c r="B144" s="78">
        <v>801</v>
      </c>
      <c r="C144" s="67" t="s">
        <v>589</v>
      </c>
      <c r="D144" s="67" t="s">
        <v>24</v>
      </c>
      <c r="E144" s="67"/>
      <c r="F144" s="67"/>
      <c r="G144" s="96">
        <f aca="true" t="shared" si="11" ref="G144:J146">SUM(G145)</f>
        <v>6423.6</v>
      </c>
      <c r="H144" s="99">
        <f t="shared" si="11"/>
        <v>0</v>
      </c>
      <c r="I144" s="99">
        <f t="shared" si="7"/>
        <v>6423.6</v>
      </c>
      <c r="J144" s="99">
        <f t="shared" si="11"/>
        <v>0</v>
      </c>
      <c r="K144" s="96">
        <f t="shared" si="6"/>
        <v>6423.6</v>
      </c>
      <c r="L144" s="106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9.5" customHeight="1">
      <c r="A145" s="124" t="s">
        <v>461</v>
      </c>
      <c r="B145" s="78">
        <v>801</v>
      </c>
      <c r="C145" s="67" t="s">
        <v>589</v>
      </c>
      <c r="D145" s="67" t="s">
        <v>24</v>
      </c>
      <c r="E145" s="67" t="s">
        <v>459</v>
      </c>
      <c r="F145" s="67"/>
      <c r="G145" s="96">
        <f t="shared" si="11"/>
        <v>6423.6</v>
      </c>
      <c r="H145" s="99">
        <f t="shared" si="11"/>
        <v>0</v>
      </c>
      <c r="I145" s="99">
        <f t="shared" si="7"/>
        <v>6423.6</v>
      </c>
      <c r="J145" s="99">
        <f t="shared" si="11"/>
        <v>0</v>
      </c>
      <c r="K145" s="96">
        <f t="shared" si="6"/>
        <v>6423.6</v>
      </c>
      <c r="L145" s="106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36" customHeight="1">
      <c r="A146" s="124" t="s">
        <v>460</v>
      </c>
      <c r="B146" s="78">
        <v>801</v>
      </c>
      <c r="C146" s="67" t="s">
        <v>589</v>
      </c>
      <c r="D146" s="67" t="s">
        <v>24</v>
      </c>
      <c r="E146" s="67" t="s">
        <v>462</v>
      </c>
      <c r="F146" s="67"/>
      <c r="G146" s="96">
        <f t="shared" si="11"/>
        <v>6423.6</v>
      </c>
      <c r="H146" s="99">
        <f t="shared" si="11"/>
        <v>0</v>
      </c>
      <c r="I146" s="99">
        <f t="shared" si="7"/>
        <v>6423.6</v>
      </c>
      <c r="J146" s="99">
        <f t="shared" si="11"/>
        <v>0</v>
      </c>
      <c r="K146" s="96">
        <f aca="true" t="shared" si="12" ref="K146:K209">I146+J146</f>
        <v>6423.6</v>
      </c>
      <c r="L146" s="106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6.5">
      <c r="A147" s="135" t="s">
        <v>811</v>
      </c>
      <c r="B147" s="78">
        <v>801</v>
      </c>
      <c r="C147" s="67" t="s">
        <v>589</v>
      </c>
      <c r="D147" s="67" t="s">
        <v>24</v>
      </c>
      <c r="E147" s="67" t="s">
        <v>462</v>
      </c>
      <c r="F147" s="67" t="s">
        <v>117</v>
      </c>
      <c r="G147" s="96">
        <v>6423.6</v>
      </c>
      <c r="H147" s="104"/>
      <c r="I147" s="99">
        <f t="shared" si="7"/>
        <v>6423.6</v>
      </c>
      <c r="J147" s="104"/>
      <c r="K147" s="96">
        <f t="shared" si="12"/>
        <v>6423.6</v>
      </c>
      <c r="L147" s="106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6.5">
      <c r="A148" s="136" t="s">
        <v>463</v>
      </c>
      <c r="B148" s="78">
        <v>801</v>
      </c>
      <c r="C148" s="67" t="s">
        <v>589</v>
      </c>
      <c r="D148" s="67" t="s">
        <v>26</v>
      </c>
      <c r="E148" s="67"/>
      <c r="F148" s="67"/>
      <c r="G148" s="96">
        <f>SUM(G152,G158,G162)</f>
        <v>12733.6</v>
      </c>
      <c r="H148" s="99">
        <f>SUM(H152,H158,H162)+H149</f>
        <v>419.70000000000005</v>
      </c>
      <c r="I148" s="99">
        <f t="shared" si="7"/>
        <v>13153.300000000001</v>
      </c>
      <c r="J148" s="99">
        <f>SUM(J152,J158,J162)+J149</f>
        <v>7503</v>
      </c>
      <c r="K148" s="96">
        <f t="shared" si="12"/>
        <v>20656.300000000003</v>
      </c>
      <c r="L148" s="106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6.5">
      <c r="A149" s="134" t="s">
        <v>699</v>
      </c>
      <c r="B149" s="78">
        <v>801</v>
      </c>
      <c r="C149" s="6" t="s">
        <v>589</v>
      </c>
      <c r="D149" s="6" t="s">
        <v>26</v>
      </c>
      <c r="E149" s="6" t="s">
        <v>464</v>
      </c>
      <c r="F149" s="6"/>
      <c r="G149" s="96"/>
      <c r="H149" s="99">
        <f>H150</f>
        <v>299.8</v>
      </c>
      <c r="I149" s="99">
        <f t="shared" si="7"/>
        <v>299.8</v>
      </c>
      <c r="J149" s="99">
        <f>J150</f>
        <v>0</v>
      </c>
      <c r="K149" s="96">
        <f t="shared" si="12"/>
        <v>299.8</v>
      </c>
      <c r="L149" s="106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6.5">
      <c r="A150" s="143" t="s">
        <v>700</v>
      </c>
      <c r="B150" s="78">
        <v>801</v>
      </c>
      <c r="C150" s="6" t="s">
        <v>589</v>
      </c>
      <c r="D150" s="6" t="s">
        <v>26</v>
      </c>
      <c r="E150" s="6" t="s">
        <v>466</v>
      </c>
      <c r="F150" s="6"/>
      <c r="G150" s="96"/>
      <c r="H150" s="99">
        <f>H151</f>
        <v>299.8</v>
      </c>
      <c r="I150" s="99">
        <f t="shared" si="7"/>
        <v>299.8</v>
      </c>
      <c r="J150" s="99">
        <f>J151</f>
        <v>0</v>
      </c>
      <c r="K150" s="96">
        <f t="shared" si="12"/>
        <v>299.8</v>
      </c>
      <c r="L150" s="106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6.5">
      <c r="A151" s="73" t="s">
        <v>467</v>
      </c>
      <c r="B151" s="78">
        <v>801</v>
      </c>
      <c r="C151" s="6" t="s">
        <v>589</v>
      </c>
      <c r="D151" s="6" t="s">
        <v>26</v>
      </c>
      <c r="E151" s="6" t="s">
        <v>466</v>
      </c>
      <c r="F151" s="6" t="s">
        <v>46</v>
      </c>
      <c r="G151" s="96"/>
      <c r="H151" s="99">
        <v>299.8</v>
      </c>
      <c r="I151" s="99">
        <f t="shared" si="7"/>
        <v>299.8</v>
      </c>
      <c r="J151" s="99"/>
      <c r="K151" s="96">
        <f t="shared" si="12"/>
        <v>299.8</v>
      </c>
      <c r="L151" s="106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6.5">
      <c r="A152" s="135" t="s">
        <v>815</v>
      </c>
      <c r="B152" s="78">
        <v>801</v>
      </c>
      <c r="C152" s="67" t="s">
        <v>589</v>
      </c>
      <c r="D152" s="67" t="s">
        <v>26</v>
      </c>
      <c r="E152" s="67" t="s">
        <v>468</v>
      </c>
      <c r="F152" s="67"/>
      <c r="G152" s="96">
        <f>G153</f>
        <v>12333.6</v>
      </c>
      <c r="H152" s="99">
        <f>H153</f>
        <v>0</v>
      </c>
      <c r="I152" s="99">
        <f t="shared" si="7"/>
        <v>12333.6</v>
      </c>
      <c r="J152" s="99">
        <f>J153</f>
        <v>7194.6</v>
      </c>
      <c r="K152" s="96">
        <f t="shared" si="12"/>
        <v>19528.2</v>
      </c>
      <c r="L152" s="106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37.25" customHeight="1">
      <c r="A153" s="120" t="s">
        <v>692</v>
      </c>
      <c r="B153" s="78">
        <v>801</v>
      </c>
      <c r="C153" s="67" t="s">
        <v>589</v>
      </c>
      <c r="D153" s="67" t="s">
        <v>26</v>
      </c>
      <c r="E153" s="67" t="s">
        <v>469</v>
      </c>
      <c r="F153" s="67"/>
      <c r="G153" s="96">
        <f>G156</f>
        <v>12333.6</v>
      </c>
      <c r="H153" s="99">
        <f>H156</f>
        <v>0</v>
      </c>
      <c r="I153" s="99">
        <f t="shared" si="7"/>
        <v>12333.6</v>
      </c>
      <c r="J153" s="99">
        <f>J156+J154</f>
        <v>7194.6</v>
      </c>
      <c r="K153" s="96">
        <f t="shared" si="12"/>
        <v>19528.2</v>
      </c>
      <c r="L153" s="106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88.5" customHeight="1">
      <c r="A154" s="120" t="s">
        <v>176</v>
      </c>
      <c r="B154" s="78">
        <v>801</v>
      </c>
      <c r="C154" s="67" t="s">
        <v>589</v>
      </c>
      <c r="D154" s="67" t="s">
        <v>26</v>
      </c>
      <c r="E154" s="67" t="s">
        <v>122</v>
      </c>
      <c r="F154" s="67"/>
      <c r="G154" s="96">
        <f>G155</f>
        <v>0</v>
      </c>
      <c r="H154" s="99">
        <f>H155</f>
        <v>0</v>
      </c>
      <c r="I154" s="99">
        <f t="shared" si="7"/>
        <v>0</v>
      </c>
      <c r="J154" s="99">
        <f>J155</f>
        <v>7194.6</v>
      </c>
      <c r="K154" s="96">
        <f t="shared" si="12"/>
        <v>7194.6</v>
      </c>
      <c r="L154" s="106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23.25" customHeight="1">
      <c r="A155" s="136" t="s">
        <v>656</v>
      </c>
      <c r="B155" s="78">
        <v>801</v>
      </c>
      <c r="C155" s="67" t="s">
        <v>589</v>
      </c>
      <c r="D155" s="67" t="s">
        <v>26</v>
      </c>
      <c r="E155" s="67" t="s">
        <v>122</v>
      </c>
      <c r="F155" s="67" t="s">
        <v>117</v>
      </c>
      <c r="G155" s="96"/>
      <c r="H155" s="99"/>
      <c r="I155" s="99">
        <f aca="true" t="shared" si="13" ref="I155:I221">H155+G155</f>
        <v>0</v>
      </c>
      <c r="J155" s="99">
        <v>7194.6</v>
      </c>
      <c r="K155" s="96">
        <f t="shared" si="12"/>
        <v>7194.6</v>
      </c>
      <c r="L155" s="106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71.25" customHeight="1">
      <c r="A156" s="120" t="s">
        <v>237</v>
      </c>
      <c r="B156" s="78">
        <v>801</v>
      </c>
      <c r="C156" s="67" t="s">
        <v>589</v>
      </c>
      <c r="D156" s="67" t="s">
        <v>26</v>
      </c>
      <c r="E156" s="67" t="s">
        <v>636</v>
      </c>
      <c r="F156" s="67"/>
      <c r="G156" s="96">
        <f>G157</f>
        <v>12333.6</v>
      </c>
      <c r="H156" s="99">
        <f>H157</f>
        <v>0</v>
      </c>
      <c r="I156" s="99">
        <f t="shared" si="13"/>
        <v>12333.6</v>
      </c>
      <c r="J156" s="99">
        <f>J157</f>
        <v>0</v>
      </c>
      <c r="K156" s="96">
        <f t="shared" si="12"/>
        <v>12333.6</v>
      </c>
      <c r="L156" s="106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6.5">
      <c r="A157" s="136" t="s">
        <v>656</v>
      </c>
      <c r="B157" s="78">
        <v>801</v>
      </c>
      <c r="C157" s="67" t="s">
        <v>589</v>
      </c>
      <c r="D157" s="67" t="s">
        <v>26</v>
      </c>
      <c r="E157" s="67" t="s">
        <v>636</v>
      </c>
      <c r="F157" s="67" t="s">
        <v>117</v>
      </c>
      <c r="G157" s="96">
        <v>12333.6</v>
      </c>
      <c r="H157" s="104"/>
      <c r="I157" s="99">
        <f t="shared" si="13"/>
        <v>12333.6</v>
      </c>
      <c r="J157" s="104"/>
      <c r="K157" s="96">
        <f t="shared" si="12"/>
        <v>12333.6</v>
      </c>
      <c r="L157" s="106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8" customHeight="1">
      <c r="A158" s="136" t="s">
        <v>470</v>
      </c>
      <c r="B158" s="78">
        <v>801</v>
      </c>
      <c r="C158" s="67" t="s">
        <v>589</v>
      </c>
      <c r="D158" s="67" t="s">
        <v>26</v>
      </c>
      <c r="E158" s="67" t="s">
        <v>471</v>
      </c>
      <c r="F158" s="67"/>
      <c r="G158" s="96">
        <f>SUM(G159)</f>
        <v>400</v>
      </c>
      <c r="H158" s="99">
        <f>SUM(H159)</f>
        <v>119.9</v>
      </c>
      <c r="I158" s="99">
        <f t="shared" si="13"/>
        <v>519.9</v>
      </c>
      <c r="J158" s="99">
        <f>SUM(J159)</f>
        <v>0</v>
      </c>
      <c r="K158" s="96">
        <f t="shared" si="12"/>
        <v>519.9</v>
      </c>
      <c r="L158" s="106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36.75" customHeight="1">
      <c r="A159" s="144" t="s">
        <v>522</v>
      </c>
      <c r="B159" s="78">
        <v>801</v>
      </c>
      <c r="C159" s="67" t="s">
        <v>589</v>
      </c>
      <c r="D159" s="67" t="s">
        <v>26</v>
      </c>
      <c r="E159" s="67" t="s">
        <v>472</v>
      </c>
      <c r="F159" s="67"/>
      <c r="G159" s="96">
        <f>SUM(G160)</f>
        <v>400</v>
      </c>
      <c r="H159" s="99">
        <f>H160</f>
        <v>119.9</v>
      </c>
      <c r="I159" s="99">
        <f t="shared" si="13"/>
        <v>519.9</v>
      </c>
      <c r="J159" s="99">
        <f>J160</f>
        <v>0</v>
      </c>
      <c r="K159" s="96">
        <f t="shared" si="12"/>
        <v>519.9</v>
      </c>
      <c r="L159" s="106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6.5" customHeight="1">
      <c r="A160" s="136" t="s">
        <v>467</v>
      </c>
      <c r="B160" s="78">
        <v>801</v>
      </c>
      <c r="C160" s="67" t="s">
        <v>589</v>
      </c>
      <c r="D160" s="67" t="s">
        <v>26</v>
      </c>
      <c r="E160" s="67" t="s">
        <v>472</v>
      </c>
      <c r="F160" s="67" t="s">
        <v>46</v>
      </c>
      <c r="G160" s="96">
        <v>400</v>
      </c>
      <c r="H160" s="99">
        <v>119.9</v>
      </c>
      <c r="I160" s="99">
        <f t="shared" si="13"/>
        <v>519.9</v>
      </c>
      <c r="J160" s="99"/>
      <c r="K160" s="96">
        <f t="shared" si="12"/>
        <v>519.9</v>
      </c>
      <c r="L160" s="106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6.5" customHeight="1">
      <c r="A161" s="146" t="s">
        <v>441</v>
      </c>
      <c r="B161" s="78">
        <v>801</v>
      </c>
      <c r="C161" s="67" t="s">
        <v>589</v>
      </c>
      <c r="D161" s="67" t="s">
        <v>26</v>
      </c>
      <c r="E161" s="67" t="s">
        <v>433</v>
      </c>
      <c r="F161" s="67"/>
      <c r="G161" s="96"/>
      <c r="H161" s="99"/>
      <c r="I161" s="99"/>
      <c r="J161" s="99">
        <f>J162</f>
        <v>308.4</v>
      </c>
      <c r="K161" s="96">
        <f t="shared" si="12"/>
        <v>308.4</v>
      </c>
      <c r="L161" s="106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9.5" customHeight="1">
      <c r="A162" s="146" t="s">
        <v>470</v>
      </c>
      <c r="B162" s="78">
        <v>801</v>
      </c>
      <c r="C162" s="67" t="s">
        <v>589</v>
      </c>
      <c r="D162" s="67" t="s">
        <v>26</v>
      </c>
      <c r="E162" s="67" t="s">
        <v>434</v>
      </c>
      <c r="F162" s="67"/>
      <c r="G162" s="96">
        <f>SUM(G163)</f>
        <v>0</v>
      </c>
      <c r="H162" s="104"/>
      <c r="I162" s="99">
        <f t="shared" si="13"/>
        <v>0</v>
      </c>
      <c r="J162" s="104">
        <f>J163</f>
        <v>308.4</v>
      </c>
      <c r="K162" s="96">
        <f t="shared" si="12"/>
        <v>308.4</v>
      </c>
      <c r="L162" s="106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20.25" customHeight="1">
      <c r="A163" s="136" t="s">
        <v>309</v>
      </c>
      <c r="B163" s="78">
        <v>801</v>
      </c>
      <c r="C163" s="67" t="s">
        <v>589</v>
      </c>
      <c r="D163" s="67" t="s">
        <v>26</v>
      </c>
      <c r="E163" s="67" t="s">
        <v>308</v>
      </c>
      <c r="F163" s="67"/>
      <c r="G163" s="96">
        <f>SUM(G164)</f>
        <v>0</v>
      </c>
      <c r="H163" s="104"/>
      <c r="I163" s="99">
        <f t="shared" si="13"/>
        <v>0</v>
      </c>
      <c r="J163" s="104">
        <f>J164</f>
        <v>308.4</v>
      </c>
      <c r="K163" s="96">
        <f t="shared" si="12"/>
        <v>308.4</v>
      </c>
      <c r="L163" s="106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8" customHeight="1">
      <c r="A164" s="136" t="s">
        <v>467</v>
      </c>
      <c r="B164" s="78">
        <v>801</v>
      </c>
      <c r="C164" s="67" t="s">
        <v>589</v>
      </c>
      <c r="D164" s="67" t="s">
        <v>26</v>
      </c>
      <c r="E164" s="67" t="s">
        <v>308</v>
      </c>
      <c r="F164" s="67" t="s">
        <v>46</v>
      </c>
      <c r="G164" s="96"/>
      <c r="H164" s="104"/>
      <c r="I164" s="99">
        <f t="shared" si="13"/>
        <v>0</v>
      </c>
      <c r="J164" s="104">
        <v>308.4</v>
      </c>
      <c r="K164" s="96">
        <f t="shared" si="12"/>
        <v>308.4</v>
      </c>
      <c r="L164" s="106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8" customHeight="1">
      <c r="A165" s="136" t="s">
        <v>56</v>
      </c>
      <c r="B165" s="78">
        <v>801</v>
      </c>
      <c r="C165" s="67" t="s">
        <v>626</v>
      </c>
      <c r="D165" s="67"/>
      <c r="E165" s="67"/>
      <c r="F165" s="67"/>
      <c r="G165" s="96">
        <f>G166</f>
        <v>32843.4</v>
      </c>
      <c r="H165" s="99">
        <f>H166</f>
        <v>15.4</v>
      </c>
      <c r="I165" s="99">
        <f t="shared" si="13"/>
        <v>32858.8</v>
      </c>
      <c r="J165" s="99">
        <f>J166</f>
        <v>11038.9</v>
      </c>
      <c r="K165" s="96">
        <f t="shared" si="12"/>
        <v>43897.700000000004</v>
      </c>
      <c r="L165" s="106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8" customHeight="1">
      <c r="A166" s="136" t="s">
        <v>842</v>
      </c>
      <c r="B166" s="78">
        <v>801</v>
      </c>
      <c r="C166" s="67" t="s">
        <v>626</v>
      </c>
      <c r="D166" s="67" t="s">
        <v>25</v>
      </c>
      <c r="E166" s="67"/>
      <c r="F166" s="67"/>
      <c r="G166" s="96">
        <f>G167+G172</f>
        <v>32843.4</v>
      </c>
      <c r="H166" s="99">
        <f>H167+H172</f>
        <v>15.4</v>
      </c>
      <c r="I166" s="99">
        <f t="shared" si="13"/>
        <v>32858.8</v>
      </c>
      <c r="J166" s="99">
        <f>J167+J172</f>
        <v>11038.9</v>
      </c>
      <c r="K166" s="96">
        <f t="shared" si="12"/>
        <v>43897.700000000004</v>
      </c>
      <c r="L166" s="106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23.25" customHeight="1">
      <c r="A167" s="150" t="s">
        <v>833</v>
      </c>
      <c r="B167" s="78">
        <v>801</v>
      </c>
      <c r="C167" s="67" t="s">
        <v>626</v>
      </c>
      <c r="D167" s="67" t="s">
        <v>25</v>
      </c>
      <c r="E167" s="67" t="s">
        <v>457</v>
      </c>
      <c r="F167" s="67"/>
      <c r="G167" s="96">
        <f>SUM(G168,G170)</f>
        <v>32768.4</v>
      </c>
      <c r="H167" s="99">
        <f>SUM(H168,H170)</f>
        <v>15.4</v>
      </c>
      <c r="I167" s="99">
        <f t="shared" si="13"/>
        <v>32783.8</v>
      </c>
      <c r="J167" s="99">
        <f>SUM(J168,J170)</f>
        <v>11038.9</v>
      </c>
      <c r="K167" s="96">
        <f t="shared" si="12"/>
        <v>43822.700000000004</v>
      </c>
      <c r="L167" s="106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8" customHeight="1">
      <c r="A168" s="136" t="s">
        <v>677</v>
      </c>
      <c r="B168" s="78">
        <v>801</v>
      </c>
      <c r="C168" s="67" t="s">
        <v>626</v>
      </c>
      <c r="D168" s="67" t="s">
        <v>25</v>
      </c>
      <c r="E168" s="67" t="s">
        <v>622</v>
      </c>
      <c r="F168" s="67"/>
      <c r="G168" s="96">
        <f>SUM(G169)</f>
        <v>25</v>
      </c>
      <c r="H168" s="99">
        <f>SUM(H169)</f>
        <v>0</v>
      </c>
      <c r="I168" s="99">
        <f t="shared" si="13"/>
        <v>25</v>
      </c>
      <c r="J168" s="99">
        <f>SUM(J169)</f>
        <v>0</v>
      </c>
      <c r="K168" s="96">
        <f t="shared" si="12"/>
        <v>25</v>
      </c>
      <c r="L168" s="106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8" customHeight="1">
      <c r="A169" s="124" t="s">
        <v>63</v>
      </c>
      <c r="B169" s="78">
        <v>801</v>
      </c>
      <c r="C169" s="67" t="s">
        <v>626</v>
      </c>
      <c r="D169" s="67" t="s">
        <v>25</v>
      </c>
      <c r="E169" s="67" t="s">
        <v>622</v>
      </c>
      <c r="F169" s="67" t="s">
        <v>660</v>
      </c>
      <c r="G169" s="96">
        <v>25</v>
      </c>
      <c r="H169" s="104"/>
      <c r="I169" s="99">
        <f t="shared" si="13"/>
        <v>25</v>
      </c>
      <c r="J169" s="104"/>
      <c r="K169" s="96">
        <f t="shared" si="12"/>
        <v>25</v>
      </c>
      <c r="L169" s="106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8" customHeight="1">
      <c r="A170" s="124" t="s">
        <v>655</v>
      </c>
      <c r="B170" s="78">
        <v>801</v>
      </c>
      <c r="C170" s="67" t="s">
        <v>626</v>
      </c>
      <c r="D170" s="67" t="s">
        <v>25</v>
      </c>
      <c r="E170" s="67" t="s">
        <v>458</v>
      </c>
      <c r="F170" s="67"/>
      <c r="G170" s="96">
        <f>SUM(G171)</f>
        <v>32743.4</v>
      </c>
      <c r="H170" s="99">
        <f>SUM(H171)</f>
        <v>15.4</v>
      </c>
      <c r="I170" s="99">
        <f t="shared" si="13"/>
        <v>32758.800000000003</v>
      </c>
      <c r="J170" s="99">
        <f>SUM(J171)</f>
        <v>11038.9</v>
      </c>
      <c r="K170" s="96">
        <f t="shared" si="12"/>
        <v>43797.700000000004</v>
      </c>
      <c r="L170" s="106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8" customHeight="1">
      <c r="A171" s="124" t="s">
        <v>63</v>
      </c>
      <c r="B171" s="78">
        <v>801</v>
      </c>
      <c r="C171" s="67" t="s">
        <v>626</v>
      </c>
      <c r="D171" s="67" t="s">
        <v>25</v>
      </c>
      <c r="E171" s="67" t="s">
        <v>458</v>
      </c>
      <c r="F171" s="67" t="s">
        <v>660</v>
      </c>
      <c r="G171" s="96">
        <f>17084.7+15658.7</f>
        <v>32743.4</v>
      </c>
      <c r="H171" s="104">
        <v>15.4</v>
      </c>
      <c r="I171" s="99">
        <f t="shared" si="13"/>
        <v>32758.800000000003</v>
      </c>
      <c r="J171" s="104">
        <f>1073.5+9965.4</f>
        <v>11038.9</v>
      </c>
      <c r="K171" s="96">
        <f t="shared" si="12"/>
        <v>43797.700000000004</v>
      </c>
      <c r="L171" s="106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8" customHeight="1">
      <c r="A172" s="146" t="s">
        <v>441</v>
      </c>
      <c r="B172" s="78">
        <v>801</v>
      </c>
      <c r="C172" s="67" t="s">
        <v>626</v>
      </c>
      <c r="D172" s="67" t="s">
        <v>25</v>
      </c>
      <c r="E172" s="67" t="s">
        <v>433</v>
      </c>
      <c r="F172" s="67"/>
      <c r="G172" s="96">
        <f aca="true" t="shared" si="14" ref="G172:J174">G173</f>
        <v>75</v>
      </c>
      <c r="H172" s="99">
        <f t="shared" si="14"/>
        <v>0</v>
      </c>
      <c r="I172" s="99">
        <f t="shared" si="13"/>
        <v>75</v>
      </c>
      <c r="J172" s="99">
        <f t="shared" si="14"/>
        <v>0</v>
      </c>
      <c r="K172" s="96">
        <f t="shared" si="12"/>
        <v>75</v>
      </c>
      <c r="L172" s="106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8" customHeight="1">
      <c r="A173" s="146" t="s">
        <v>470</v>
      </c>
      <c r="B173" s="78">
        <v>801</v>
      </c>
      <c r="C173" s="67" t="s">
        <v>626</v>
      </c>
      <c r="D173" s="67" t="s">
        <v>25</v>
      </c>
      <c r="E173" s="67" t="s">
        <v>434</v>
      </c>
      <c r="F173" s="67"/>
      <c r="G173" s="96">
        <f t="shared" si="14"/>
        <v>75</v>
      </c>
      <c r="H173" s="99">
        <f t="shared" si="14"/>
        <v>0</v>
      </c>
      <c r="I173" s="99">
        <f t="shared" si="13"/>
        <v>75</v>
      </c>
      <c r="J173" s="99">
        <f t="shared" si="14"/>
        <v>0</v>
      </c>
      <c r="K173" s="96">
        <f t="shared" si="12"/>
        <v>75</v>
      </c>
      <c r="L173" s="106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33.75" customHeight="1">
      <c r="A174" s="120" t="s">
        <v>451</v>
      </c>
      <c r="B174" s="78">
        <v>801</v>
      </c>
      <c r="C174" s="67" t="s">
        <v>626</v>
      </c>
      <c r="D174" s="67" t="s">
        <v>25</v>
      </c>
      <c r="E174" s="67" t="s">
        <v>449</v>
      </c>
      <c r="F174" s="67"/>
      <c r="G174" s="96">
        <f t="shared" si="14"/>
        <v>75</v>
      </c>
      <c r="H174" s="99">
        <f t="shared" si="14"/>
        <v>0</v>
      </c>
      <c r="I174" s="99">
        <f t="shared" si="13"/>
        <v>75</v>
      </c>
      <c r="J174" s="99">
        <f t="shared" si="14"/>
        <v>0</v>
      </c>
      <c r="K174" s="96">
        <f t="shared" si="12"/>
        <v>75</v>
      </c>
      <c r="L174" s="106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8" customHeight="1">
      <c r="A175" s="120" t="s">
        <v>438</v>
      </c>
      <c r="B175" s="78">
        <v>801</v>
      </c>
      <c r="C175" s="67" t="s">
        <v>626</v>
      </c>
      <c r="D175" s="67" t="s">
        <v>25</v>
      </c>
      <c r="E175" s="67" t="s">
        <v>449</v>
      </c>
      <c r="F175" s="67" t="s">
        <v>277</v>
      </c>
      <c r="G175" s="96">
        <v>75</v>
      </c>
      <c r="H175" s="104"/>
      <c r="I175" s="99">
        <f t="shared" si="13"/>
        <v>75</v>
      </c>
      <c r="J175" s="104"/>
      <c r="K175" s="96">
        <f t="shared" si="12"/>
        <v>75</v>
      </c>
      <c r="L175" s="106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9.5" customHeight="1">
      <c r="A176" s="135" t="s">
        <v>149</v>
      </c>
      <c r="B176" s="78">
        <v>802</v>
      </c>
      <c r="C176" s="67"/>
      <c r="D176" s="67"/>
      <c r="E176" s="67"/>
      <c r="F176" s="67"/>
      <c r="G176" s="96">
        <f>G177+G186+G194</f>
        <v>18178.5</v>
      </c>
      <c r="H176" s="99">
        <f>H177+H186+H194</f>
        <v>16.8</v>
      </c>
      <c r="I176" s="99">
        <f t="shared" si="13"/>
        <v>18195.3</v>
      </c>
      <c r="J176" s="99">
        <f>J177+J186+J194</f>
        <v>1307.2</v>
      </c>
      <c r="K176" s="96">
        <f t="shared" si="12"/>
        <v>19502.5</v>
      </c>
      <c r="L176" s="106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8.75" customHeight="1">
      <c r="A177" s="149" t="s">
        <v>65</v>
      </c>
      <c r="B177" s="78">
        <v>802</v>
      </c>
      <c r="C177" s="67" t="s">
        <v>24</v>
      </c>
      <c r="D177" s="67"/>
      <c r="E177" s="67"/>
      <c r="F177" s="67"/>
      <c r="G177" s="96">
        <f aca="true" t="shared" si="15" ref="G177:J178">SUM(G178)</f>
        <v>18178.5</v>
      </c>
      <c r="H177" s="99">
        <f t="shared" si="15"/>
        <v>16.8</v>
      </c>
      <c r="I177" s="99">
        <f t="shared" si="13"/>
        <v>18195.3</v>
      </c>
      <c r="J177" s="99">
        <f t="shared" si="15"/>
        <v>1307.2</v>
      </c>
      <c r="K177" s="96">
        <f t="shared" si="12"/>
        <v>19502.5</v>
      </c>
      <c r="L177" s="106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50.25" customHeight="1">
      <c r="A178" s="136" t="s">
        <v>708</v>
      </c>
      <c r="B178" s="78">
        <v>802</v>
      </c>
      <c r="C178" s="67" t="s">
        <v>24</v>
      </c>
      <c r="D178" s="67" t="s">
        <v>26</v>
      </c>
      <c r="E178" s="67"/>
      <c r="F178" s="67"/>
      <c r="G178" s="96">
        <f t="shared" si="15"/>
        <v>18178.5</v>
      </c>
      <c r="H178" s="99">
        <f t="shared" si="15"/>
        <v>16.8</v>
      </c>
      <c r="I178" s="99">
        <f t="shared" si="13"/>
        <v>18195.3</v>
      </c>
      <c r="J178" s="99">
        <f t="shared" si="15"/>
        <v>1307.2</v>
      </c>
      <c r="K178" s="96">
        <f t="shared" si="12"/>
        <v>19502.5</v>
      </c>
      <c r="L178" s="106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49.5" customHeight="1">
      <c r="A179" s="124" t="s">
        <v>93</v>
      </c>
      <c r="B179" s="78">
        <v>802</v>
      </c>
      <c r="C179" s="67" t="s">
        <v>24</v>
      </c>
      <c r="D179" s="67" t="s">
        <v>26</v>
      </c>
      <c r="E179" s="67" t="s">
        <v>94</v>
      </c>
      <c r="F179" s="67"/>
      <c r="G179" s="96">
        <f>SUM(G180,G182,G184)</f>
        <v>18178.5</v>
      </c>
      <c r="H179" s="99">
        <f>SUM(H180,H182,H184)</f>
        <v>16.8</v>
      </c>
      <c r="I179" s="99">
        <f t="shared" si="13"/>
        <v>18195.3</v>
      </c>
      <c r="J179" s="99">
        <f>SUM(J180,J182,J184)</f>
        <v>1307.2</v>
      </c>
      <c r="K179" s="96">
        <f t="shared" si="12"/>
        <v>19502.5</v>
      </c>
      <c r="L179" s="106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8.75" customHeight="1">
      <c r="A180" s="124" t="s">
        <v>673</v>
      </c>
      <c r="B180" s="78">
        <v>802</v>
      </c>
      <c r="C180" s="67" t="s">
        <v>24</v>
      </c>
      <c r="D180" s="67" t="s">
        <v>26</v>
      </c>
      <c r="E180" s="67" t="s">
        <v>96</v>
      </c>
      <c r="F180" s="67"/>
      <c r="G180" s="96">
        <f>SUM(G181)</f>
        <v>13569.1</v>
      </c>
      <c r="H180" s="99">
        <f>SUM(H181)</f>
        <v>16.8</v>
      </c>
      <c r="I180" s="99">
        <f t="shared" si="13"/>
        <v>13585.9</v>
      </c>
      <c r="J180" s="99">
        <f>SUM(J181)</f>
        <v>1030</v>
      </c>
      <c r="K180" s="96">
        <f t="shared" si="12"/>
        <v>14615.9</v>
      </c>
      <c r="L180" s="106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8" customHeight="1">
      <c r="A181" s="120" t="s">
        <v>438</v>
      </c>
      <c r="B181" s="78">
        <v>802</v>
      </c>
      <c r="C181" s="67" t="s">
        <v>24</v>
      </c>
      <c r="D181" s="67" t="s">
        <v>26</v>
      </c>
      <c r="E181" s="67" t="s">
        <v>96</v>
      </c>
      <c r="F181" s="67" t="s">
        <v>277</v>
      </c>
      <c r="G181" s="96">
        <f>13267.5+301.6</f>
        <v>13569.1</v>
      </c>
      <c r="H181" s="104">
        <v>16.8</v>
      </c>
      <c r="I181" s="99">
        <f t="shared" si="13"/>
        <v>13585.9</v>
      </c>
      <c r="J181" s="104">
        <v>1030</v>
      </c>
      <c r="K181" s="96">
        <f t="shared" si="12"/>
        <v>14615.9</v>
      </c>
      <c r="L181" s="106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21" customHeight="1">
      <c r="A182" s="124" t="s">
        <v>388</v>
      </c>
      <c r="B182" s="78">
        <v>802</v>
      </c>
      <c r="C182" s="67" t="s">
        <v>24</v>
      </c>
      <c r="D182" s="67" t="s">
        <v>26</v>
      </c>
      <c r="E182" s="67" t="s">
        <v>474</v>
      </c>
      <c r="F182" s="67"/>
      <c r="G182" s="96">
        <f>SUM(G183)</f>
        <v>1725</v>
      </c>
      <c r="H182" s="99">
        <f>SUM(H183)</f>
        <v>0</v>
      </c>
      <c r="I182" s="99">
        <f t="shared" si="13"/>
        <v>1725</v>
      </c>
      <c r="J182" s="99">
        <f>SUM(J183)</f>
        <v>150.9</v>
      </c>
      <c r="K182" s="96">
        <f t="shared" si="12"/>
        <v>1875.9</v>
      </c>
      <c r="L182" s="106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20.25" customHeight="1">
      <c r="A183" s="120" t="s">
        <v>438</v>
      </c>
      <c r="B183" s="78">
        <v>802</v>
      </c>
      <c r="C183" s="67" t="s">
        <v>24</v>
      </c>
      <c r="D183" s="67" t="s">
        <v>26</v>
      </c>
      <c r="E183" s="67" t="s">
        <v>474</v>
      </c>
      <c r="F183" s="67" t="s">
        <v>277</v>
      </c>
      <c r="G183" s="96">
        <f>1725</f>
        <v>1725</v>
      </c>
      <c r="H183" s="104"/>
      <c r="I183" s="99">
        <f t="shared" si="13"/>
        <v>1725</v>
      </c>
      <c r="J183" s="104">
        <v>150.9</v>
      </c>
      <c r="K183" s="96">
        <f t="shared" si="12"/>
        <v>1875.9</v>
      </c>
      <c r="L183" s="106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9.5" customHeight="1">
      <c r="A184" s="124" t="s">
        <v>389</v>
      </c>
      <c r="B184" s="78">
        <v>802</v>
      </c>
      <c r="C184" s="67" t="s">
        <v>24</v>
      </c>
      <c r="D184" s="67" t="s">
        <v>26</v>
      </c>
      <c r="E184" s="67" t="s">
        <v>475</v>
      </c>
      <c r="F184" s="67"/>
      <c r="G184" s="96">
        <f>SUM(G185)</f>
        <v>2884.4</v>
      </c>
      <c r="H184" s="99">
        <f>SUM(H185)</f>
        <v>0</v>
      </c>
      <c r="I184" s="99">
        <f t="shared" si="13"/>
        <v>2884.4</v>
      </c>
      <c r="J184" s="99">
        <f>SUM(J185)</f>
        <v>126.3</v>
      </c>
      <c r="K184" s="96">
        <f t="shared" si="12"/>
        <v>3010.7000000000003</v>
      </c>
      <c r="L184" s="106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8" customHeight="1">
      <c r="A185" s="120" t="s">
        <v>438</v>
      </c>
      <c r="B185" s="78">
        <v>802</v>
      </c>
      <c r="C185" s="67" t="s">
        <v>24</v>
      </c>
      <c r="D185" s="67" t="s">
        <v>26</v>
      </c>
      <c r="E185" s="67" t="s">
        <v>475</v>
      </c>
      <c r="F185" s="67" t="s">
        <v>277</v>
      </c>
      <c r="G185" s="96">
        <v>2884.4</v>
      </c>
      <c r="H185" s="104"/>
      <c r="I185" s="99">
        <f t="shared" si="13"/>
        <v>2884.4</v>
      </c>
      <c r="J185" s="104">
        <v>126.3</v>
      </c>
      <c r="K185" s="96">
        <f t="shared" si="12"/>
        <v>3010.7000000000003</v>
      </c>
      <c r="L185" s="106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8" customHeight="1" hidden="1">
      <c r="A186" s="120" t="s">
        <v>537</v>
      </c>
      <c r="B186" s="78">
        <v>802</v>
      </c>
      <c r="C186" s="67" t="s">
        <v>27</v>
      </c>
      <c r="D186" s="67" t="s">
        <v>663</v>
      </c>
      <c r="E186" s="67"/>
      <c r="F186" s="67"/>
      <c r="G186" s="96">
        <f>G187</f>
        <v>0</v>
      </c>
      <c r="H186" s="104"/>
      <c r="I186" s="99">
        <f t="shared" si="13"/>
        <v>0</v>
      </c>
      <c r="J186" s="104"/>
      <c r="K186" s="96">
        <f t="shared" si="12"/>
        <v>0</v>
      </c>
      <c r="L186" s="106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8" customHeight="1" hidden="1">
      <c r="A187" s="120" t="s">
        <v>855</v>
      </c>
      <c r="B187" s="78">
        <v>802</v>
      </c>
      <c r="C187" s="67" t="s">
        <v>27</v>
      </c>
      <c r="D187" s="67" t="s">
        <v>24</v>
      </c>
      <c r="E187" s="67"/>
      <c r="F187" s="67"/>
      <c r="G187" s="96">
        <f>G188+G191</f>
        <v>0</v>
      </c>
      <c r="H187" s="104"/>
      <c r="I187" s="99">
        <f t="shared" si="13"/>
        <v>0</v>
      </c>
      <c r="J187" s="104"/>
      <c r="K187" s="96">
        <f t="shared" si="12"/>
        <v>0</v>
      </c>
      <c r="L187" s="106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8" customHeight="1" hidden="1">
      <c r="A188" s="120" t="s">
        <v>857</v>
      </c>
      <c r="B188" s="78">
        <v>802</v>
      </c>
      <c r="C188" s="67" t="s">
        <v>27</v>
      </c>
      <c r="D188" s="67" t="s">
        <v>24</v>
      </c>
      <c r="E188" s="67" t="s">
        <v>856</v>
      </c>
      <c r="F188" s="67"/>
      <c r="G188" s="96">
        <f>G189</f>
        <v>0</v>
      </c>
      <c r="H188" s="104"/>
      <c r="I188" s="99">
        <f t="shared" si="13"/>
        <v>0</v>
      </c>
      <c r="J188" s="104"/>
      <c r="K188" s="96">
        <f t="shared" si="12"/>
        <v>0</v>
      </c>
      <c r="L188" s="106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33.75" customHeight="1" hidden="1">
      <c r="A189" s="124" t="s">
        <v>690</v>
      </c>
      <c r="B189" s="78">
        <v>802</v>
      </c>
      <c r="C189" s="67" t="s">
        <v>27</v>
      </c>
      <c r="D189" s="67" t="s">
        <v>24</v>
      </c>
      <c r="E189" s="67" t="s">
        <v>680</v>
      </c>
      <c r="F189" s="67"/>
      <c r="G189" s="96">
        <f>SUM(G190)</f>
        <v>0</v>
      </c>
      <c r="H189" s="104"/>
      <c r="I189" s="99">
        <f t="shared" si="13"/>
        <v>0</v>
      </c>
      <c r="J189" s="104"/>
      <c r="K189" s="96">
        <f t="shared" si="12"/>
        <v>0</v>
      </c>
      <c r="L189" s="106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8" customHeight="1" hidden="1">
      <c r="A190" s="124" t="s">
        <v>63</v>
      </c>
      <c r="B190" s="78">
        <v>802</v>
      </c>
      <c r="C190" s="67" t="s">
        <v>27</v>
      </c>
      <c r="D190" s="67" t="s">
        <v>24</v>
      </c>
      <c r="E190" s="67" t="s">
        <v>680</v>
      </c>
      <c r="F190" s="67" t="s">
        <v>660</v>
      </c>
      <c r="G190" s="96"/>
      <c r="H190" s="104"/>
      <c r="I190" s="99">
        <f t="shared" si="13"/>
        <v>0</v>
      </c>
      <c r="J190" s="104"/>
      <c r="K190" s="96">
        <f t="shared" si="12"/>
        <v>0</v>
      </c>
      <c r="L190" s="106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8" customHeight="1" hidden="1">
      <c r="A191" s="124" t="s">
        <v>367</v>
      </c>
      <c r="B191" s="78">
        <v>802</v>
      </c>
      <c r="C191" s="67" t="s">
        <v>27</v>
      </c>
      <c r="D191" s="67" t="s">
        <v>24</v>
      </c>
      <c r="E191" s="67" t="s">
        <v>471</v>
      </c>
      <c r="F191" s="67"/>
      <c r="G191" s="96">
        <f>G192</f>
        <v>0</v>
      </c>
      <c r="H191" s="104"/>
      <c r="I191" s="99">
        <f t="shared" si="13"/>
        <v>0</v>
      </c>
      <c r="J191" s="104"/>
      <c r="K191" s="96">
        <f t="shared" si="12"/>
        <v>0</v>
      </c>
      <c r="L191" s="106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34.5" customHeight="1" hidden="1">
      <c r="A192" s="124" t="s">
        <v>694</v>
      </c>
      <c r="B192" s="78">
        <v>802</v>
      </c>
      <c r="C192" s="67" t="s">
        <v>27</v>
      </c>
      <c r="D192" s="67" t="s">
        <v>24</v>
      </c>
      <c r="E192" s="67" t="s">
        <v>702</v>
      </c>
      <c r="F192" s="67"/>
      <c r="G192" s="96">
        <f>SUM(G193)</f>
        <v>0</v>
      </c>
      <c r="H192" s="104"/>
      <c r="I192" s="99">
        <f t="shared" si="13"/>
        <v>0</v>
      </c>
      <c r="J192" s="104"/>
      <c r="K192" s="96">
        <f t="shared" si="12"/>
        <v>0</v>
      </c>
      <c r="L192" s="106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8" customHeight="1" hidden="1">
      <c r="A193" s="124" t="s">
        <v>63</v>
      </c>
      <c r="B193" s="78">
        <v>802</v>
      </c>
      <c r="C193" s="67" t="s">
        <v>27</v>
      </c>
      <c r="D193" s="67" t="s">
        <v>24</v>
      </c>
      <c r="E193" s="67" t="s">
        <v>702</v>
      </c>
      <c r="F193" s="67" t="s">
        <v>660</v>
      </c>
      <c r="G193" s="96"/>
      <c r="H193" s="104"/>
      <c r="I193" s="99">
        <f t="shared" si="13"/>
        <v>0</v>
      </c>
      <c r="J193" s="104"/>
      <c r="K193" s="96">
        <f t="shared" si="12"/>
        <v>0</v>
      </c>
      <c r="L193" s="106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8" customHeight="1" hidden="1">
      <c r="A194" s="136" t="s">
        <v>454</v>
      </c>
      <c r="B194" s="78">
        <v>802</v>
      </c>
      <c r="C194" s="67" t="s">
        <v>625</v>
      </c>
      <c r="D194" s="67"/>
      <c r="E194" s="67"/>
      <c r="F194" s="67"/>
      <c r="G194" s="96">
        <f>G195</f>
        <v>0</v>
      </c>
      <c r="H194" s="104"/>
      <c r="I194" s="99">
        <f t="shared" si="13"/>
        <v>0</v>
      </c>
      <c r="J194" s="104"/>
      <c r="K194" s="96">
        <f t="shared" si="12"/>
        <v>0</v>
      </c>
      <c r="L194" s="106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8" customHeight="1" hidden="1">
      <c r="A195" s="136" t="s">
        <v>307</v>
      </c>
      <c r="B195" s="78">
        <v>802</v>
      </c>
      <c r="C195" s="67" t="s">
        <v>625</v>
      </c>
      <c r="D195" s="67" t="s">
        <v>625</v>
      </c>
      <c r="E195" s="67"/>
      <c r="F195" s="67"/>
      <c r="G195" s="96">
        <f>G196</f>
        <v>0</v>
      </c>
      <c r="H195" s="104"/>
      <c r="I195" s="99">
        <f t="shared" si="13"/>
        <v>0</v>
      </c>
      <c r="J195" s="104"/>
      <c r="K195" s="96">
        <f t="shared" si="12"/>
        <v>0</v>
      </c>
      <c r="L195" s="106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8" customHeight="1" hidden="1">
      <c r="A196" s="124" t="s">
        <v>286</v>
      </c>
      <c r="B196" s="78">
        <v>802</v>
      </c>
      <c r="C196" s="67" t="s">
        <v>625</v>
      </c>
      <c r="D196" s="67" t="s">
        <v>625</v>
      </c>
      <c r="E196" s="67" t="s">
        <v>591</v>
      </c>
      <c r="F196" s="67"/>
      <c r="G196" s="96">
        <f>G197</f>
        <v>0</v>
      </c>
      <c r="H196" s="104"/>
      <c r="I196" s="99">
        <f t="shared" si="13"/>
        <v>0</v>
      </c>
      <c r="J196" s="104"/>
      <c r="K196" s="96">
        <f t="shared" si="12"/>
        <v>0</v>
      </c>
      <c r="L196" s="106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8" customHeight="1" hidden="1">
      <c r="A197" s="146" t="s">
        <v>393</v>
      </c>
      <c r="B197" s="78">
        <v>802</v>
      </c>
      <c r="C197" s="67" t="s">
        <v>625</v>
      </c>
      <c r="D197" s="67" t="s">
        <v>625</v>
      </c>
      <c r="E197" s="67" t="s">
        <v>633</v>
      </c>
      <c r="F197" s="67"/>
      <c r="G197" s="96">
        <f>SUM(G198)</f>
        <v>0</v>
      </c>
      <c r="H197" s="104"/>
      <c r="I197" s="99">
        <f t="shared" si="13"/>
        <v>0</v>
      </c>
      <c r="J197" s="104"/>
      <c r="K197" s="96">
        <f t="shared" si="12"/>
        <v>0</v>
      </c>
      <c r="L197" s="106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8" customHeight="1" hidden="1">
      <c r="A198" s="136" t="s">
        <v>653</v>
      </c>
      <c r="B198" s="78">
        <v>802</v>
      </c>
      <c r="C198" s="67" t="s">
        <v>625</v>
      </c>
      <c r="D198" s="67" t="s">
        <v>625</v>
      </c>
      <c r="E198" s="67" t="s">
        <v>633</v>
      </c>
      <c r="F198" s="67" t="s">
        <v>652</v>
      </c>
      <c r="G198" s="96"/>
      <c r="H198" s="104"/>
      <c r="I198" s="99">
        <f t="shared" si="13"/>
        <v>0</v>
      </c>
      <c r="J198" s="104"/>
      <c r="K198" s="96">
        <f t="shared" si="12"/>
        <v>0</v>
      </c>
      <c r="L198" s="106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33.75" customHeight="1">
      <c r="A199" s="137" t="s">
        <v>150</v>
      </c>
      <c r="B199" s="78">
        <v>803</v>
      </c>
      <c r="C199" s="67"/>
      <c r="D199" s="67"/>
      <c r="E199" s="67"/>
      <c r="F199" s="67"/>
      <c r="G199" s="96">
        <f>SUM(G210,G279,G200,G205,G273)</f>
        <v>563476.3999999999</v>
      </c>
      <c r="H199" s="99">
        <f>SUM(H210,H279,H200,H205,H273)</f>
        <v>7077.6</v>
      </c>
      <c r="I199" s="99">
        <f t="shared" si="13"/>
        <v>570553.9999999999</v>
      </c>
      <c r="J199" s="99">
        <f>SUM(J210,J279,J200,J205,J273)</f>
        <v>27132.5</v>
      </c>
      <c r="K199" s="96">
        <f t="shared" si="12"/>
        <v>597686.4999999999</v>
      </c>
      <c r="L199" s="106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8" customHeight="1" hidden="1">
      <c r="A200" s="149" t="s">
        <v>65</v>
      </c>
      <c r="B200" s="78">
        <v>803</v>
      </c>
      <c r="C200" s="67" t="s">
        <v>24</v>
      </c>
      <c r="D200" s="67"/>
      <c r="E200" s="67"/>
      <c r="F200" s="67"/>
      <c r="G200" s="96">
        <f aca="true" t="shared" si="16" ref="G200:J203">G201</f>
        <v>0</v>
      </c>
      <c r="H200" s="99">
        <f t="shared" si="16"/>
        <v>0</v>
      </c>
      <c r="I200" s="99">
        <f t="shared" si="13"/>
        <v>0</v>
      </c>
      <c r="J200" s="99">
        <f t="shared" si="16"/>
        <v>0</v>
      </c>
      <c r="K200" s="96">
        <f t="shared" si="12"/>
        <v>0</v>
      </c>
      <c r="L200" s="106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8" customHeight="1" hidden="1">
      <c r="A201" s="136" t="s">
        <v>397</v>
      </c>
      <c r="B201" s="78">
        <v>803</v>
      </c>
      <c r="C201" s="67" t="s">
        <v>24</v>
      </c>
      <c r="D201" s="67" t="s">
        <v>606</v>
      </c>
      <c r="E201" s="67"/>
      <c r="F201" s="67"/>
      <c r="G201" s="96">
        <f t="shared" si="16"/>
        <v>0</v>
      </c>
      <c r="H201" s="99">
        <f t="shared" si="16"/>
        <v>0</v>
      </c>
      <c r="I201" s="99">
        <f t="shared" si="13"/>
        <v>0</v>
      </c>
      <c r="J201" s="99">
        <f t="shared" si="16"/>
        <v>0</v>
      </c>
      <c r="K201" s="96">
        <f t="shared" si="12"/>
        <v>0</v>
      </c>
      <c r="L201" s="106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8" customHeight="1" hidden="1">
      <c r="A202" s="146" t="s">
        <v>70</v>
      </c>
      <c r="B202" s="78">
        <v>803</v>
      </c>
      <c r="C202" s="67" t="s">
        <v>24</v>
      </c>
      <c r="D202" s="67" t="s">
        <v>606</v>
      </c>
      <c r="E202" s="67" t="s">
        <v>432</v>
      </c>
      <c r="F202" s="67"/>
      <c r="G202" s="96">
        <f t="shared" si="16"/>
        <v>0</v>
      </c>
      <c r="H202" s="99">
        <f t="shared" si="16"/>
        <v>0</v>
      </c>
      <c r="I202" s="99">
        <f t="shared" si="13"/>
        <v>0</v>
      </c>
      <c r="J202" s="99">
        <f t="shared" si="16"/>
        <v>0</v>
      </c>
      <c r="K202" s="96">
        <f t="shared" si="12"/>
        <v>0</v>
      </c>
      <c r="L202" s="106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8" customHeight="1" hidden="1">
      <c r="A203" s="124" t="s">
        <v>71</v>
      </c>
      <c r="B203" s="78">
        <v>803</v>
      </c>
      <c r="C203" s="67" t="s">
        <v>24</v>
      </c>
      <c r="D203" s="67" t="s">
        <v>606</v>
      </c>
      <c r="E203" s="67" t="s">
        <v>490</v>
      </c>
      <c r="F203" s="67"/>
      <c r="G203" s="96">
        <f t="shared" si="16"/>
        <v>0</v>
      </c>
      <c r="H203" s="99">
        <f t="shared" si="16"/>
        <v>0</v>
      </c>
      <c r="I203" s="99">
        <f t="shared" si="13"/>
        <v>0</v>
      </c>
      <c r="J203" s="99">
        <f t="shared" si="16"/>
        <v>0</v>
      </c>
      <c r="K203" s="96">
        <f t="shared" si="12"/>
        <v>0</v>
      </c>
      <c r="L203" s="106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8" customHeight="1" hidden="1">
      <c r="A204" s="120" t="s">
        <v>438</v>
      </c>
      <c r="B204" s="78">
        <v>803</v>
      </c>
      <c r="C204" s="67" t="s">
        <v>24</v>
      </c>
      <c r="D204" s="67" t="s">
        <v>606</v>
      </c>
      <c r="E204" s="67" t="s">
        <v>490</v>
      </c>
      <c r="F204" s="67" t="s">
        <v>277</v>
      </c>
      <c r="G204" s="96"/>
      <c r="H204" s="99"/>
      <c r="I204" s="99">
        <f t="shared" si="13"/>
        <v>0</v>
      </c>
      <c r="J204" s="99"/>
      <c r="K204" s="96">
        <f t="shared" si="12"/>
        <v>0</v>
      </c>
      <c r="L204" s="106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8" customHeight="1">
      <c r="A205" s="120" t="s">
        <v>537</v>
      </c>
      <c r="B205" s="78">
        <v>803</v>
      </c>
      <c r="C205" s="67" t="s">
        <v>27</v>
      </c>
      <c r="D205" s="67"/>
      <c r="E205" s="67"/>
      <c r="F205" s="67"/>
      <c r="G205" s="96">
        <f aca="true" t="shared" si="17" ref="G205:J208">G206</f>
        <v>0</v>
      </c>
      <c r="H205" s="99">
        <f t="shared" si="17"/>
        <v>0</v>
      </c>
      <c r="I205" s="99">
        <f t="shared" si="13"/>
        <v>0</v>
      </c>
      <c r="J205" s="99">
        <f t="shared" si="17"/>
        <v>300</v>
      </c>
      <c r="K205" s="96">
        <f t="shared" si="12"/>
        <v>300</v>
      </c>
      <c r="L205" s="106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8" customHeight="1">
      <c r="A206" s="136" t="s">
        <v>110</v>
      </c>
      <c r="B206" s="78">
        <v>803</v>
      </c>
      <c r="C206" s="67" t="s">
        <v>27</v>
      </c>
      <c r="D206" s="67" t="s">
        <v>626</v>
      </c>
      <c r="E206" s="67"/>
      <c r="F206" s="67"/>
      <c r="G206" s="96">
        <f t="shared" si="17"/>
        <v>0</v>
      </c>
      <c r="H206" s="99">
        <f t="shared" si="17"/>
        <v>0</v>
      </c>
      <c r="I206" s="99">
        <f t="shared" si="13"/>
        <v>0</v>
      </c>
      <c r="J206" s="99">
        <f t="shared" si="17"/>
        <v>300</v>
      </c>
      <c r="K206" s="96">
        <f t="shared" si="12"/>
        <v>300</v>
      </c>
      <c r="L206" s="106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8" customHeight="1">
      <c r="A207" s="136" t="s">
        <v>306</v>
      </c>
      <c r="B207" s="78">
        <v>803</v>
      </c>
      <c r="C207" s="67" t="s">
        <v>27</v>
      </c>
      <c r="D207" s="67" t="s">
        <v>626</v>
      </c>
      <c r="E207" s="67" t="s">
        <v>539</v>
      </c>
      <c r="F207" s="67"/>
      <c r="G207" s="96">
        <f t="shared" si="17"/>
        <v>0</v>
      </c>
      <c r="H207" s="99">
        <f t="shared" si="17"/>
        <v>0</v>
      </c>
      <c r="I207" s="99">
        <f t="shared" si="13"/>
        <v>0</v>
      </c>
      <c r="J207" s="99">
        <f t="shared" si="17"/>
        <v>300</v>
      </c>
      <c r="K207" s="96">
        <f t="shared" si="12"/>
        <v>300</v>
      </c>
      <c r="L207" s="106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8" customHeight="1">
      <c r="A208" s="150" t="s">
        <v>554</v>
      </c>
      <c r="B208" s="78">
        <v>803</v>
      </c>
      <c r="C208" s="67" t="s">
        <v>27</v>
      </c>
      <c r="D208" s="67" t="s">
        <v>626</v>
      </c>
      <c r="E208" s="67" t="s">
        <v>555</v>
      </c>
      <c r="F208" s="67"/>
      <c r="G208" s="96">
        <f t="shared" si="17"/>
        <v>0</v>
      </c>
      <c r="H208" s="99">
        <f t="shared" si="17"/>
        <v>0</v>
      </c>
      <c r="I208" s="99">
        <f t="shared" si="13"/>
        <v>0</v>
      </c>
      <c r="J208" s="99">
        <f t="shared" si="17"/>
        <v>300</v>
      </c>
      <c r="K208" s="96">
        <f t="shared" si="12"/>
        <v>300</v>
      </c>
      <c r="L208" s="106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8" customHeight="1">
      <c r="A209" s="120" t="s">
        <v>438</v>
      </c>
      <c r="B209" s="78">
        <v>803</v>
      </c>
      <c r="C209" s="67" t="s">
        <v>27</v>
      </c>
      <c r="D209" s="67" t="s">
        <v>626</v>
      </c>
      <c r="E209" s="67" t="s">
        <v>555</v>
      </c>
      <c r="F209" s="67" t="s">
        <v>277</v>
      </c>
      <c r="G209" s="96"/>
      <c r="H209" s="99"/>
      <c r="I209" s="99">
        <f t="shared" si="13"/>
        <v>0</v>
      </c>
      <c r="J209" s="99">
        <v>300</v>
      </c>
      <c r="K209" s="96">
        <f t="shared" si="12"/>
        <v>300</v>
      </c>
      <c r="L209" s="106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8" customHeight="1">
      <c r="A210" s="136" t="s">
        <v>481</v>
      </c>
      <c r="B210" s="78">
        <v>803</v>
      </c>
      <c r="C210" s="67" t="s">
        <v>108</v>
      </c>
      <c r="D210" s="67"/>
      <c r="E210" s="67"/>
      <c r="F210" s="67"/>
      <c r="G210" s="96">
        <f>SUM(G211,G248,G269,G241)</f>
        <v>562969.3999999999</v>
      </c>
      <c r="H210" s="99">
        <f>SUM(H211,H248,H269,H241)</f>
        <v>7077.6</v>
      </c>
      <c r="I210" s="99">
        <f t="shared" si="13"/>
        <v>570046.9999999999</v>
      </c>
      <c r="J210" s="99">
        <f>SUM(J211,J248,J269,J241)</f>
        <v>26927.3</v>
      </c>
      <c r="K210" s="96">
        <f aca="true" t="shared" si="18" ref="K210:K273">I210+J210</f>
        <v>596974.2999999999</v>
      </c>
      <c r="L210" s="106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8" customHeight="1">
      <c r="A211" s="136" t="s">
        <v>240</v>
      </c>
      <c r="B211" s="78">
        <v>803</v>
      </c>
      <c r="C211" s="67" t="s">
        <v>108</v>
      </c>
      <c r="D211" s="67" t="s">
        <v>24</v>
      </c>
      <c r="E211" s="67"/>
      <c r="F211" s="67"/>
      <c r="G211" s="96">
        <f>SUM(G212,G218,)</f>
        <v>52739.1</v>
      </c>
      <c r="H211" s="99">
        <f>SUM(H212,H218,)</f>
        <v>0</v>
      </c>
      <c r="I211" s="99">
        <f t="shared" si="13"/>
        <v>52739.1</v>
      </c>
      <c r="J211" s="99">
        <f>SUM(J212,J218,J233)</f>
        <v>20200</v>
      </c>
      <c r="K211" s="96">
        <f t="shared" si="18"/>
        <v>72939.1</v>
      </c>
      <c r="L211" s="106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s="47" customFormat="1" ht="36.75" customHeight="1">
      <c r="A212" s="136" t="s">
        <v>734</v>
      </c>
      <c r="B212" s="78">
        <v>803</v>
      </c>
      <c r="C212" s="67" t="s">
        <v>491</v>
      </c>
      <c r="D212" s="67" t="s">
        <v>24</v>
      </c>
      <c r="E212" s="67" t="s">
        <v>207</v>
      </c>
      <c r="F212" s="67"/>
      <c r="G212" s="96">
        <f>G213+G215</f>
        <v>29000</v>
      </c>
      <c r="H212" s="99">
        <f>H213+H215</f>
        <v>-3000</v>
      </c>
      <c r="I212" s="99">
        <f t="shared" si="13"/>
        <v>26000</v>
      </c>
      <c r="J212" s="99">
        <f>J213+J215</f>
        <v>0</v>
      </c>
      <c r="K212" s="96">
        <f t="shared" si="18"/>
        <v>26000</v>
      </c>
      <c r="L212" s="106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s="48" customFormat="1" ht="50.25" customHeight="1" hidden="1">
      <c r="A213" s="136" t="s">
        <v>664</v>
      </c>
      <c r="B213" s="78">
        <v>803</v>
      </c>
      <c r="C213" s="67" t="s">
        <v>108</v>
      </c>
      <c r="D213" s="67" t="s">
        <v>24</v>
      </c>
      <c r="E213" s="67" t="s">
        <v>208</v>
      </c>
      <c r="F213" s="67"/>
      <c r="G213" s="96">
        <f>G214</f>
        <v>0</v>
      </c>
      <c r="H213" s="99">
        <f>H214</f>
        <v>0</v>
      </c>
      <c r="I213" s="99">
        <f t="shared" si="13"/>
        <v>0</v>
      </c>
      <c r="J213" s="99">
        <f>J214</f>
        <v>0</v>
      </c>
      <c r="K213" s="96">
        <f t="shared" si="18"/>
        <v>0</v>
      </c>
      <c r="L213" s="106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8.75" customHeight="1" hidden="1">
      <c r="A214" s="135" t="s">
        <v>657</v>
      </c>
      <c r="B214" s="78">
        <v>803</v>
      </c>
      <c r="C214" s="67" t="s">
        <v>108</v>
      </c>
      <c r="D214" s="67" t="s">
        <v>24</v>
      </c>
      <c r="E214" s="67" t="s">
        <v>208</v>
      </c>
      <c r="F214" s="82" t="s">
        <v>334</v>
      </c>
      <c r="G214" s="96"/>
      <c r="H214" s="99"/>
      <c r="I214" s="99">
        <f t="shared" si="13"/>
        <v>0</v>
      </c>
      <c r="J214" s="99"/>
      <c r="K214" s="96">
        <f t="shared" si="18"/>
        <v>0</v>
      </c>
      <c r="L214" s="106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52.5" customHeight="1">
      <c r="A215" s="136" t="s">
        <v>735</v>
      </c>
      <c r="B215" s="78">
        <v>803</v>
      </c>
      <c r="C215" s="67" t="s">
        <v>34</v>
      </c>
      <c r="D215" s="67" t="s">
        <v>24</v>
      </c>
      <c r="E215" s="67" t="s">
        <v>341</v>
      </c>
      <c r="F215" s="67"/>
      <c r="G215" s="96">
        <f aca="true" t="shared" si="19" ref="G215:J216">SUM(G216)</f>
        <v>29000</v>
      </c>
      <c r="H215" s="99">
        <f t="shared" si="19"/>
        <v>-3000</v>
      </c>
      <c r="I215" s="99">
        <f t="shared" si="13"/>
        <v>26000</v>
      </c>
      <c r="J215" s="99">
        <f t="shared" si="19"/>
        <v>0</v>
      </c>
      <c r="K215" s="96">
        <f t="shared" si="18"/>
        <v>26000</v>
      </c>
      <c r="L215" s="106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36.75" customHeight="1">
      <c r="A216" s="136" t="s">
        <v>302</v>
      </c>
      <c r="B216" s="78">
        <v>803</v>
      </c>
      <c r="C216" s="67" t="s">
        <v>491</v>
      </c>
      <c r="D216" s="67" t="s">
        <v>24</v>
      </c>
      <c r="E216" s="67" t="s">
        <v>209</v>
      </c>
      <c r="F216" s="67"/>
      <c r="G216" s="96">
        <f t="shared" si="19"/>
        <v>29000</v>
      </c>
      <c r="H216" s="99">
        <f t="shared" si="19"/>
        <v>-3000</v>
      </c>
      <c r="I216" s="99">
        <f t="shared" si="13"/>
        <v>26000</v>
      </c>
      <c r="J216" s="99">
        <f t="shared" si="19"/>
        <v>0</v>
      </c>
      <c r="K216" s="96">
        <f t="shared" si="18"/>
        <v>26000</v>
      </c>
      <c r="L216" s="106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33" s="47" customFormat="1" ht="20.25" customHeight="1">
      <c r="A217" s="135" t="s">
        <v>736</v>
      </c>
      <c r="B217" s="78">
        <v>803</v>
      </c>
      <c r="C217" s="67" t="s">
        <v>491</v>
      </c>
      <c r="D217" s="67" t="s">
        <v>24</v>
      </c>
      <c r="E217" s="67" t="s">
        <v>209</v>
      </c>
      <c r="F217" s="67" t="s">
        <v>334</v>
      </c>
      <c r="G217" s="96">
        <v>29000</v>
      </c>
      <c r="H217" s="104">
        <v>-3000</v>
      </c>
      <c r="I217" s="99">
        <f t="shared" si="13"/>
        <v>26000</v>
      </c>
      <c r="J217" s="104"/>
      <c r="K217" s="96">
        <f t="shared" si="18"/>
        <v>26000</v>
      </c>
      <c r="L217" s="106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</row>
    <row r="218" spans="1:33" ht="18" customHeight="1">
      <c r="A218" s="136" t="s">
        <v>737</v>
      </c>
      <c r="B218" s="78">
        <v>803</v>
      </c>
      <c r="C218" s="67" t="s">
        <v>108</v>
      </c>
      <c r="D218" s="67" t="s">
        <v>24</v>
      </c>
      <c r="E218" s="67" t="s">
        <v>487</v>
      </c>
      <c r="F218" s="67"/>
      <c r="G218" s="96">
        <f>SUM(G221,G224,G226,G231)</f>
        <v>23739.1</v>
      </c>
      <c r="H218" s="99">
        <f>SUM(H221,H224,H226,H231,H229)</f>
        <v>3000</v>
      </c>
      <c r="I218" s="99">
        <f t="shared" si="13"/>
        <v>26739.1</v>
      </c>
      <c r="J218" s="99">
        <f>SUM(J221,J224,J226,J231,J229,J219)</f>
        <v>20000</v>
      </c>
      <c r="K218" s="96">
        <f t="shared" si="18"/>
        <v>46739.1</v>
      </c>
      <c r="L218" s="106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</row>
    <row r="219" spans="1:33" ht="18" customHeight="1">
      <c r="A219" s="136" t="s">
        <v>713</v>
      </c>
      <c r="B219" s="78">
        <v>803</v>
      </c>
      <c r="C219" s="67" t="s">
        <v>108</v>
      </c>
      <c r="D219" s="67" t="s">
        <v>24</v>
      </c>
      <c r="E219" s="67" t="s">
        <v>712</v>
      </c>
      <c r="F219" s="67"/>
      <c r="G219" s="96"/>
      <c r="H219" s="99"/>
      <c r="I219" s="99"/>
      <c r="J219" s="99">
        <f>J220</f>
        <v>20000</v>
      </c>
      <c r="K219" s="96">
        <f t="shared" si="18"/>
        <v>20000</v>
      </c>
      <c r="L219" s="106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</row>
    <row r="220" spans="1:33" ht="18" customHeight="1">
      <c r="A220" s="135" t="s">
        <v>736</v>
      </c>
      <c r="B220" s="78">
        <v>803</v>
      </c>
      <c r="C220" s="67" t="s">
        <v>108</v>
      </c>
      <c r="D220" s="67" t="s">
        <v>24</v>
      </c>
      <c r="E220" s="67" t="s">
        <v>712</v>
      </c>
      <c r="F220" s="67" t="s">
        <v>334</v>
      </c>
      <c r="G220" s="96"/>
      <c r="H220" s="99"/>
      <c r="I220" s="99"/>
      <c r="J220" s="99">
        <v>20000</v>
      </c>
      <c r="K220" s="96">
        <f t="shared" si="18"/>
        <v>20000</v>
      </c>
      <c r="L220" s="106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</row>
    <row r="221" spans="1:26" ht="19.5" customHeight="1">
      <c r="A221" s="136" t="s">
        <v>198</v>
      </c>
      <c r="B221" s="78">
        <v>803</v>
      </c>
      <c r="C221" s="67" t="s">
        <v>108</v>
      </c>
      <c r="D221" s="67" t="s">
        <v>24</v>
      </c>
      <c r="E221" s="67" t="s">
        <v>486</v>
      </c>
      <c r="F221" s="67"/>
      <c r="G221" s="96">
        <f>G222+G223</f>
        <v>9904.9</v>
      </c>
      <c r="H221" s="99">
        <f>H222+H223</f>
        <v>0</v>
      </c>
      <c r="I221" s="99">
        <f t="shared" si="13"/>
        <v>9904.9</v>
      </c>
      <c r="J221" s="99">
        <f>J222+J223</f>
        <v>0</v>
      </c>
      <c r="K221" s="96">
        <f t="shared" si="18"/>
        <v>9904.9</v>
      </c>
      <c r="L221" s="106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8" customHeight="1">
      <c r="A222" s="135" t="s">
        <v>736</v>
      </c>
      <c r="B222" s="78">
        <v>803</v>
      </c>
      <c r="C222" s="67" t="s">
        <v>108</v>
      </c>
      <c r="D222" s="67" t="s">
        <v>24</v>
      </c>
      <c r="E222" s="67" t="s">
        <v>486</v>
      </c>
      <c r="F222" s="67" t="s">
        <v>334</v>
      </c>
      <c r="G222" s="96">
        <v>4629.9</v>
      </c>
      <c r="H222" s="104"/>
      <c r="I222" s="99">
        <f aca="true" t="shared" si="20" ref="I222:I306">H222+G222</f>
        <v>4629.9</v>
      </c>
      <c r="J222" s="104"/>
      <c r="K222" s="96">
        <f t="shared" si="18"/>
        <v>4629.9</v>
      </c>
      <c r="L222" s="106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8" customHeight="1">
      <c r="A223" s="124" t="s">
        <v>438</v>
      </c>
      <c r="B223" s="78">
        <v>803</v>
      </c>
      <c r="C223" s="67" t="s">
        <v>108</v>
      </c>
      <c r="D223" s="67" t="s">
        <v>24</v>
      </c>
      <c r="E223" s="67" t="s">
        <v>486</v>
      </c>
      <c r="F223" s="67" t="s">
        <v>277</v>
      </c>
      <c r="G223" s="96">
        <v>5275</v>
      </c>
      <c r="H223" s="104"/>
      <c r="I223" s="99">
        <f t="shared" si="20"/>
        <v>5275</v>
      </c>
      <c r="J223" s="104"/>
      <c r="K223" s="96">
        <f t="shared" si="18"/>
        <v>5275</v>
      </c>
      <c r="L223" s="106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35.25" customHeight="1">
      <c r="A224" s="136" t="s">
        <v>569</v>
      </c>
      <c r="B224" s="78">
        <v>803</v>
      </c>
      <c r="C224" s="67" t="s">
        <v>108</v>
      </c>
      <c r="D224" s="67" t="s">
        <v>24</v>
      </c>
      <c r="E224" s="67" t="s">
        <v>488</v>
      </c>
      <c r="F224" s="67"/>
      <c r="G224" s="96">
        <f>SUM(G225)</f>
        <v>3834.2</v>
      </c>
      <c r="H224" s="99">
        <f>SUM(H225)</f>
        <v>0</v>
      </c>
      <c r="I224" s="99">
        <f t="shared" si="20"/>
        <v>3834.2</v>
      </c>
      <c r="J224" s="99">
        <f>SUM(J225)</f>
        <v>0</v>
      </c>
      <c r="K224" s="96">
        <f t="shared" si="18"/>
        <v>3834.2</v>
      </c>
      <c r="L224" s="106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20.25" customHeight="1">
      <c r="A225" s="135" t="s">
        <v>736</v>
      </c>
      <c r="B225" s="78">
        <v>803</v>
      </c>
      <c r="C225" s="67" t="s">
        <v>108</v>
      </c>
      <c r="D225" s="67" t="s">
        <v>24</v>
      </c>
      <c r="E225" s="67" t="s">
        <v>488</v>
      </c>
      <c r="F225" s="67" t="s">
        <v>334</v>
      </c>
      <c r="G225" s="96">
        <v>3834.2</v>
      </c>
      <c r="H225" s="104"/>
      <c r="I225" s="99">
        <f t="shared" si="20"/>
        <v>3834.2</v>
      </c>
      <c r="J225" s="104"/>
      <c r="K225" s="96">
        <f t="shared" si="18"/>
        <v>3834.2</v>
      </c>
      <c r="L225" s="106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8" customHeight="1" hidden="1">
      <c r="A226" s="136" t="s">
        <v>62</v>
      </c>
      <c r="B226" s="78">
        <v>803</v>
      </c>
      <c r="C226" s="67" t="s">
        <v>108</v>
      </c>
      <c r="D226" s="67" t="s">
        <v>24</v>
      </c>
      <c r="E226" s="67" t="s">
        <v>489</v>
      </c>
      <c r="F226" s="67"/>
      <c r="G226" s="96">
        <f>SUM(G227:G228)</f>
        <v>0</v>
      </c>
      <c r="H226" s="104"/>
      <c r="I226" s="99">
        <f t="shared" si="20"/>
        <v>0</v>
      </c>
      <c r="J226" s="104"/>
      <c r="K226" s="96">
        <f t="shared" si="18"/>
        <v>0</v>
      </c>
      <c r="L226" s="106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8" customHeight="1" hidden="1">
      <c r="A227" s="135" t="s">
        <v>657</v>
      </c>
      <c r="B227" s="78">
        <v>803</v>
      </c>
      <c r="C227" s="67" t="s">
        <v>108</v>
      </c>
      <c r="D227" s="67" t="s">
        <v>24</v>
      </c>
      <c r="E227" s="67" t="s">
        <v>489</v>
      </c>
      <c r="F227" s="67" t="s">
        <v>334</v>
      </c>
      <c r="G227" s="96"/>
      <c r="H227" s="104"/>
      <c r="I227" s="99">
        <f t="shared" si="20"/>
        <v>0</v>
      </c>
      <c r="J227" s="104"/>
      <c r="K227" s="96">
        <f t="shared" si="18"/>
        <v>0</v>
      </c>
      <c r="L227" s="106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7.25" customHeight="1" hidden="1">
      <c r="A228" s="135" t="s">
        <v>317</v>
      </c>
      <c r="B228" s="78">
        <v>803</v>
      </c>
      <c r="C228" s="67" t="s">
        <v>108</v>
      </c>
      <c r="D228" s="67" t="s">
        <v>24</v>
      </c>
      <c r="E228" s="67" t="s">
        <v>489</v>
      </c>
      <c r="F228" s="67" t="s">
        <v>318</v>
      </c>
      <c r="G228" s="96"/>
      <c r="H228" s="104"/>
      <c r="I228" s="99">
        <f t="shared" si="20"/>
        <v>0</v>
      </c>
      <c r="J228" s="104"/>
      <c r="K228" s="96">
        <f t="shared" si="18"/>
        <v>0</v>
      </c>
      <c r="L228" s="106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35.25" customHeight="1">
      <c r="A229" s="73" t="s">
        <v>319</v>
      </c>
      <c r="B229" s="78">
        <v>803</v>
      </c>
      <c r="C229" s="67" t="s">
        <v>108</v>
      </c>
      <c r="D229" s="67" t="s">
        <v>24</v>
      </c>
      <c r="E229" s="67" t="s">
        <v>489</v>
      </c>
      <c r="F229" s="67"/>
      <c r="G229" s="96"/>
      <c r="H229" s="104">
        <f>H230</f>
        <v>3000</v>
      </c>
      <c r="I229" s="99">
        <f t="shared" si="20"/>
        <v>3000</v>
      </c>
      <c r="J229" s="104">
        <f>J230</f>
        <v>0</v>
      </c>
      <c r="K229" s="96">
        <f t="shared" si="18"/>
        <v>3000</v>
      </c>
      <c r="L229" s="106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28.5" customHeight="1">
      <c r="A230" s="71" t="s">
        <v>733</v>
      </c>
      <c r="B230" s="78">
        <v>803</v>
      </c>
      <c r="C230" s="67" t="s">
        <v>108</v>
      </c>
      <c r="D230" s="67" t="s">
        <v>24</v>
      </c>
      <c r="E230" s="67" t="s">
        <v>489</v>
      </c>
      <c r="F230" s="67" t="s">
        <v>318</v>
      </c>
      <c r="G230" s="96"/>
      <c r="H230" s="104">
        <v>3000</v>
      </c>
      <c r="I230" s="99">
        <f t="shared" si="20"/>
        <v>3000</v>
      </c>
      <c r="J230" s="104"/>
      <c r="K230" s="96">
        <f t="shared" si="18"/>
        <v>3000</v>
      </c>
      <c r="L230" s="106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69" customHeight="1">
      <c r="A231" s="136" t="s">
        <v>770</v>
      </c>
      <c r="B231" s="78">
        <v>803</v>
      </c>
      <c r="C231" s="67" t="s">
        <v>108</v>
      </c>
      <c r="D231" s="67" t="s">
        <v>24</v>
      </c>
      <c r="E231" s="67" t="s">
        <v>541</v>
      </c>
      <c r="F231" s="67"/>
      <c r="G231" s="96">
        <f>G232</f>
        <v>10000</v>
      </c>
      <c r="H231" s="99">
        <f>H232</f>
        <v>0</v>
      </c>
      <c r="I231" s="99">
        <f t="shared" si="20"/>
        <v>10000</v>
      </c>
      <c r="J231" s="99">
        <f>J232</f>
        <v>0</v>
      </c>
      <c r="K231" s="96">
        <f t="shared" si="18"/>
        <v>10000</v>
      </c>
      <c r="L231" s="106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7.25" customHeight="1">
      <c r="A232" s="135" t="s">
        <v>736</v>
      </c>
      <c r="B232" s="78">
        <v>803</v>
      </c>
      <c r="C232" s="67" t="s">
        <v>108</v>
      </c>
      <c r="D232" s="67" t="s">
        <v>24</v>
      </c>
      <c r="E232" s="67" t="s">
        <v>541</v>
      </c>
      <c r="F232" s="67" t="s">
        <v>334</v>
      </c>
      <c r="G232" s="96">
        <v>10000</v>
      </c>
      <c r="H232" s="104"/>
      <c r="I232" s="99">
        <f t="shared" si="20"/>
        <v>10000</v>
      </c>
      <c r="J232" s="104"/>
      <c r="K232" s="96">
        <f t="shared" si="18"/>
        <v>10000</v>
      </c>
      <c r="L232" s="106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7.25" customHeight="1">
      <c r="A233" s="146" t="s">
        <v>441</v>
      </c>
      <c r="B233" s="78">
        <v>803</v>
      </c>
      <c r="C233" s="67" t="s">
        <v>108</v>
      </c>
      <c r="D233" s="67" t="s">
        <v>24</v>
      </c>
      <c r="E233" s="67" t="s">
        <v>433</v>
      </c>
      <c r="F233" s="67"/>
      <c r="G233" s="96"/>
      <c r="H233" s="104"/>
      <c r="I233" s="99"/>
      <c r="J233" s="104">
        <f>J234+J237</f>
        <v>200</v>
      </c>
      <c r="K233" s="96">
        <f t="shared" si="18"/>
        <v>200</v>
      </c>
      <c r="L233" s="106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7.25" customHeight="1">
      <c r="A234" s="146" t="s">
        <v>470</v>
      </c>
      <c r="B234" s="78">
        <v>803</v>
      </c>
      <c r="C234" s="67" t="s">
        <v>108</v>
      </c>
      <c r="D234" s="67" t="s">
        <v>24</v>
      </c>
      <c r="E234" s="67" t="s">
        <v>434</v>
      </c>
      <c r="F234" s="67"/>
      <c r="G234" s="96"/>
      <c r="H234" s="104"/>
      <c r="I234" s="99"/>
      <c r="J234" s="104">
        <f>J235</f>
        <v>200</v>
      </c>
      <c r="K234" s="96">
        <f t="shared" si="18"/>
        <v>200</v>
      </c>
      <c r="L234" s="106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7.25" customHeight="1">
      <c r="A235" s="120" t="s">
        <v>524</v>
      </c>
      <c r="B235" s="78">
        <v>803</v>
      </c>
      <c r="C235" s="67" t="s">
        <v>108</v>
      </c>
      <c r="D235" s="67" t="s">
        <v>24</v>
      </c>
      <c r="E235" s="67" t="s">
        <v>445</v>
      </c>
      <c r="F235" s="67"/>
      <c r="G235" s="96"/>
      <c r="H235" s="104"/>
      <c r="I235" s="99"/>
      <c r="J235" s="104">
        <f>J236</f>
        <v>200</v>
      </c>
      <c r="K235" s="96">
        <f t="shared" si="18"/>
        <v>200</v>
      </c>
      <c r="L235" s="106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7.25" customHeight="1">
      <c r="A236" s="136" t="s">
        <v>227</v>
      </c>
      <c r="B236" s="78">
        <v>803</v>
      </c>
      <c r="C236" s="67" t="s">
        <v>108</v>
      </c>
      <c r="D236" s="67" t="s">
        <v>24</v>
      </c>
      <c r="E236" s="67" t="s">
        <v>445</v>
      </c>
      <c r="F236" s="67" t="s">
        <v>652</v>
      </c>
      <c r="G236" s="96"/>
      <c r="H236" s="104"/>
      <c r="I236" s="99"/>
      <c r="J236" s="104">
        <v>200</v>
      </c>
      <c r="K236" s="96">
        <f t="shared" si="18"/>
        <v>200</v>
      </c>
      <c r="L236" s="106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7.25" customHeight="1" hidden="1">
      <c r="A237" s="159" t="s">
        <v>527</v>
      </c>
      <c r="B237" s="78">
        <v>803</v>
      </c>
      <c r="C237" s="67" t="s">
        <v>108</v>
      </c>
      <c r="D237" s="67" t="s">
        <v>24</v>
      </c>
      <c r="E237" s="67" t="s">
        <v>650</v>
      </c>
      <c r="F237" s="67"/>
      <c r="G237" s="96"/>
      <c r="H237" s="104"/>
      <c r="I237" s="99"/>
      <c r="J237" s="104">
        <f>J238</f>
        <v>0</v>
      </c>
      <c r="K237" s="96">
        <f t="shared" si="18"/>
        <v>0</v>
      </c>
      <c r="L237" s="106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35.25" customHeight="1" hidden="1">
      <c r="A238" s="136" t="s">
        <v>768</v>
      </c>
      <c r="B238" s="78">
        <v>803</v>
      </c>
      <c r="C238" s="67" t="s">
        <v>108</v>
      </c>
      <c r="D238" s="67" t="s">
        <v>24</v>
      </c>
      <c r="E238" s="67" t="s">
        <v>580</v>
      </c>
      <c r="F238" s="67"/>
      <c r="G238" s="96"/>
      <c r="H238" s="104"/>
      <c r="I238" s="99"/>
      <c r="J238" s="104">
        <f>J239</f>
        <v>0</v>
      </c>
      <c r="K238" s="96">
        <f t="shared" si="18"/>
        <v>0</v>
      </c>
      <c r="L238" s="106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7.25" customHeight="1" hidden="1">
      <c r="A239" s="135" t="s">
        <v>581</v>
      </c>
      <c r="B239" s="78">
        <v>803</v>
      </c>
      <c r="C239" s="67" t="s">
        <v>108</v>
      </c>
      <c r="D239" s="67" t="s">
        <v>24</v>
      </c>
      <c r="E239" s="67" t="s">
        <v>580</v>
      </c>
      <c r="F239" s="67" t="s">
        <v>334</v>
      </c>
      <c r="G239" s="96"/>
      <c r="H239" s="104"/>
      <c r="I239" s="99"/>
      <c r="J239" s="104"/>
      <c r="K239" s="96">
        <f t="shared" si="18"/>
        <v>0</v>
      </c>
      <c r="L239" s="106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7.25" customHeight="1" hidden="1">
      <c r="A240" s="136"/>
      <c r="B240" s="78"/>
      <c r="C240" s="67"/>
      <c r="D240" s="67"/>
      <c r="E240" s="67"/>
      <c r="F240" s="67"/>
      <c r="G240" s="96"/>
      <c r="H240" s="104"/>
      <c r="I240" s="99"/>
      <c r="J240" s="104"/>
      <c r="K240" s="96">
        <f t="shared" si="18"/>
        <v>0</v>
      </c>
      <c r="L240" s="106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7.25" customHeight="1" hidden="1">
      <c r="A241" s="135" t="s">
        <v>738</v>
      </c>
      <c r="B241" s="78">
        <v>803</v>
      </c>
      <c r="C241" s="67" t="s">
        <v>108</v>
      </c>
      <c r="D241" s="67" t="s">
        <v>25</v>
      </c>
      <c r="E241" s="67"/>
      <c r="F241" s="67"/>
      <c r="G241" s="96">
        <f>G242+G245</f>
        <v>3500</v>
      </c>
      <c r="H241" s="99">
        <f>H242+H245</f>
        <v>0</v>
      </c>
      <c r="I241" s="99">
        <f t="shared" si="20"/>
        <v>3500</v>
      </c>
      <c r="J241" s="99">
        <f>J242+J245</f>
        <v>-3500</v>
      </c>
      <c r="K241" s="96">
        <f t="shared" si="18"/>
        <v>0</v>
      </c>
      <c r="L241" s="106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7.25" customHeight="1" hidden="1">
      <c r="A242" s="136" t="s">
        <v>740</v>
      </c>
      <c r="B242" s="78">
        <v>803</v>
      </c>
      <c r="C242" s="67" t="s">
        <v>108</v>
      </c>
      <c r="D242" s="67" t="s">
        <v>25</v>
      </c>
      <c r="E242" s="67" t="s">
        <v>280</v>
      </c>
      <c r="F242" s="67"/>
      <c r="G242" s="96">
        <f aca="true" t="shared" si="21" ref="G242:J243">G243</f>
        <v>3500</v>
      </c>
      <c r="H242" s="99">
        <f t="shared" si="21"/>
        <v>0</v>
      </c>
      <c r="I242" s="99">
        <f t="shared" si="20"/>
        <v>3500</v>
      </c>
      <c r="J242" s="99">
        <f t="shared" si="21"/>
        <v>-3500</v>
      </c>
      <c r="K242" s="96">
        <f t="shared" si="18"/>
        <v>0</v>
      </c>
      <c r="L242" s="106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36" customHeight="1" hidden="1">
      <c r="A243" s="136" t="s">
        <v>147</v>
      </c>
      <c r="B243" s="78">
        <v>803</v>
      </c>
      <c r="C243" s="67" t="s">
        <v>108</v>
      </c>
      <c r="D243" s="67" t="s">
        <v>25</v>
      </c>
      <c r="E243" s="67" t="s">
        <v>281</v>
      </c>
      <c r="F243" s="67"/>
      <c r="G243" s="96">
        <f t="shared" si="21"/>
        <v>3500</v>
      </c>
      <c r="H243" s="99">
        <f t="shared" si="21"/>
        <v>0</v>
      </c>
      <c r="I243" s="99">
        <f t="shared" si="20"/>
        <v>3500</v>
      </c>
      <c r="J243" s="99">
        <f t="shared" si="21"/>
        <v>-3500</v>
      </c>
      <c r="K243" s="96">
        <f t="shared" si="18"/>
        <v>0</v>
      </c>
      <c r="L243" s="106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7.25" customHeight="1" hidden="1">
      <c r="A244" s="135" t="s">
        <v>736</v>
      </c>
      <c r="B244" s="78">
        <v>803</v>
      </c>
      <c r="C244" s="67" t="s">
        <v>108</v>
      </c>
      <c r="D244" s="67" t="s">
        <v>25</v>
      </c>
      <c r="E244" s="67" t="s">
        <v>281</v>
      </c>
      <c r="F244" s="67" t="s">
        <v>334</v>
      </c>
      <c r="G244" s="96">
        <v>3500</v>
      </c>
      <c r="H244" s="104"/>
      <c r="I244" s="99">
        <f t="shared" si="20"/>
        <v>3500</v>
      </c>
      <c r="J244" s="104">
        <v>-3500</v>
      </c>
      <c r="K244" s="96">
        <f t="shared" si="18"/>
        <v>0</v>
      </c>
      <c r="L244" s="106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7.25" customHeight="1" hidden="1">
      <c r="A245" s="120" t="s">
        <v>470</v>
      </c>
      <c r="B245" s="78">
        <v>803</v>
      </c>
      <c r="C245" s="67" t="s">
        <v>108</v>
      </c>
      <c r="D245" s="67" t="s">
        <v>25</v>
      </c>
      <c r="E245" s="67" t="s">
        <v>471</v>
      </c>
      <c r="F245" s="67"/>
      <c r="G245" s="96">
        <f>G246</f>
        <v>0</v>
      </c>
      <c r="H245" s="104"/>
      <c r="I245" s="99">
        <f t="shared" si="20"/>
        <v>0</v>
      </c>
      <c r="J245" s="104"/>
      <c r="K245" s="96">
        <f t="shared" si="18"/>
        <v>0</v>
      </c>
      <c r="L245" s="106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53.25" customHeight="1" hidden="1">
      <c r="A246" s="135" t="s">
        <v>843</v>
      </c>
      <c r="B246" s="78">
        <v>803</v>
      </c>
      <c r="C246" s="67" t="s">
        <v>108</v>
      </c>
      <c r="D246" s="67" t="s">
        <v>25</v>
      </c>
      <c r="E246" s="67" t="s">
        <v>551</v>
      </c>
      <c r="F246" s="67"/>
      <c r="G246" s="96">
        <f>G247</f>
        <v>0</v>
      </c>
      <c r="H246" s="104"/>
      <c r="I246" s="99">
        <f t="shared" si="20"/>
        <v>0</v>
      </c>
      <c r="J246" s="104"/>
      <c r="K246" s="96">
        <f t="shared" si="18"/>
        <v>0</v>
      </c>
      <c r="L246" s="106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7.25" customHeight="1" hidden="1">
      <c r="A247" s="124" t="s">
        <v>438</v>
      </c>
      <c r="B247" s="78">
        <v>803</v>
      </c>
      <c r="C247" s="67" t="s">
        <v>108</v>
      </c>
      <c r="D247" s="67" t="s">
        <v>25</v>
      </c>
      <c r="E247" s="67" t="s">
        <v>551</v>
      </c>
      <c r="F247" s="67" t="s">
        <v>277</v>
      </c>
      <c r="G247" s="96"/>
      <c r="H247" s="104"/>
      <c r="I247" s="99">
        <f t="shared" si="20"/>
        <v>0</v>
      </c>
      <c r="J247" s="104"/>
      <c r="K247" s="96">
        <f t="shared" si="18"/>
        <v>0</v>
      </c>
      <c r="L247" s="106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21" customHeight="1">
      <c r="A248" s="135" t="s">
        <v>200</v>
      </c>
      <c r="B248" s="78">
        <v>803</v>
      </c>
      <c r="C248" s="67" t="s">
        <v>108</v>
      </c>
      <c r="D248" s="67" t="s">
        <v>26</v>
      </c>
      <c r="E248" s="67"/>
      <c r="F248" s="67"/>
      <c r="G248" s="96">
        <f>SUM(,G252,)</f>
        <v>490757.6</v>
      </c>
      <c r="H248" s="99">
        <f>SUM(,H252,)</f>
        <v>7073.6</v>
      </c>
      <c r="I248" s="99">
        <f t="shared" si="20"/>
        <v>497831.19999999995</v>
      </c>
      <c r="J248" s="99">
        <f>SUM(J252,J249,J265)</f>
        <v>8602.3</v>
      </c>
      <c r="K248" s="96">
        <f t="shared" si="18"/>
        <v>506433.49999999994</v>
      </c>
      <c r="L248" s="106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21" customHeight="1">
      <c r="A249" s="120" t="s">
        <v>470</v>
      </c>
      <c r="B249" s="78">
        <v>803</v>
      </c>
      <c r="C249" s="67" t="s">
        <v>108</v>
      </c>
      <c r="D249" s="67" t="s">
        <v>26</v>
      </c>
      <c r="E249" s="67" t="s">
        <v>471</v>
      </c>
      <c r="F249" s="67"/>
      <c r="G249" s="96"/>
      <c r="H249" s="99"/>
      <c r="I249" s="99"/>
      <c r="J249" s="99">
        <f>J250</f>
        <v>50</v>
      </c>
      <c r="K249" s="96">
        <f t="shared" si="18"/>
        <v>50</v>
      </c>
      <c r="L249" s="106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33.75" customHeight="1">
      <c r="A250" s="120" t="s">
        <v>518</v>
      </c>
      <c r="B250" s="78">
        <v>803</v>
      </c>
      <c r="C250" s="67" t="s">
        <v>108</v>
      </c>
      <c r="D250" s="67" t="s">
        <v>26</v>
      </c>
      <c r="E250" s="67" t="s">
        <v>553</v>
      </c>
      <c r="F250" s="67"/>
      <c r="G250" s="96"/>
      <c r="H250" s="99"/>
      <c r="I250" s="99"/>
      <c r="J250" s="99">
        <f>J251</f>
        <v>50</v>
      </c>
      <c r="K250" s="96">
        <f t="shared" si="18"/>
        <v>50</v>
      </c>
      <c r="L250" s="106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8.75" customHeight="1">
      <c r="A251" s="136" t="s">
        <v>227</v>
      </c>
      <c r="B251" s="78">
        <v>803</v>
      </c>
      <c r="C251" s="67" t="s">
        <v>108</v>
      </c>
      <c r="D251" s="67" t="s">
        <v>26</v>
      </c>
      <c r="E251" s="67" t="s">
        <v>553</v>
      </c>
      <c r="F251" s="67" t="s">
        <v>652</v>
      </c>
      <c r="G251" s="96"/>
      <c r="H251" s="99"/>
      <c r="I251" s="99"/>
      <c r="J251" s="99">
        <v>50</v>
      </c>
      <c r="K251" s="96">
        <f t="shared" si="18"/>
        <v>50</v>
      </c>
      <c r="L251" s="106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8" customHeight="1">
      <c r="A252" s="146" t="s">
        <v>493</v>
      </c>
      <c r="B252" s="78">
        <v>803</v>
      </c>
      <c r="C252" s="67" t="s">
        <v>108</v>
      </c>
      <c r="D252" s="67" t="s">
        <v>26</v>
      </c>
      <c r="E252" s="67" t="s">
        <v>494</v>
      </c>
      <c r="F252" s="67"/>
      <c r="G252" s="96">
        <f>G253+G256+G259+G261</f>
        <v>490757.6</v>
      </c>
      <c r="H252" s="99">
        <f>H253+H256+H259+H261</f>
        <v>7073.6</v>
      </c>
      <c r="I252" s="99">
        <f t="shared" si="20"/>
        <v>497831.19999999995</v>
      </c>
      <c r="J252" s="99">
        <f>J253+J256+J259+J261</f>
        <v>8507.5</v>
      </c>
      <c r="K252" s="96">
        <f t="shared" si="18"/>
        <v>506338.69999999995</v>
      </c>
      <c r="L252" s="106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8" customHeight="1">
      <c r="A253" s="136" t="s">
        <v>587</v>
      </c>
      <c r="B253" s="78">
        <v>803</v>
      </c>
      <c r="C253" s="67" t="s">
        <v>108</v>
      </c>
      <c r="D253" s="67" t="s">
        <v>26</v>
      </c>
      <c r="E253" s="67" t="s">
        <v>495</v>
      </c>
      <c r="F253" s="67"/>
      <c r="G253" s="96">
        <f>G254+G255</f>
        <v>53995.2</v>
      </c>
      <c r="H253" s="99">
        <f>H254+H255</f>
        <v>4073.6</v>
      </c>
      <c r="I253" s="99">
        <f t="shared" si="20"/>
        <v>58068.799999999996</v>
      </c>
      <c r="J253" s="99">
        <f>J254+J255</f>
        <v>-10.3</v>
      </c>
      <c r="K253" s="96">
        <f t="shared" si="18"/>
        <v>58058.49999999999</v>
      </c>
      <c r="L253" s="106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8" customHeight="1">
      <c r="A254" s="135" t="s">
        <v>657</v>
      </c>
      <c r="B254" s="78">
        <v>803</v>
      </c>
      <c r="C254" s="67" t="s">
        <v>108</v>
      </c>
      <c r="D254" s="67" t="s">
        <v>26</v>
      </c>
      <c r="E254" s="67" t="s">
        <v>495</v>
      </c>
      <c r="F254" s="67" t="s">
        <v>334</v>
      </c>
      <c r="G254" s="96">
        <v>24360.7</v>
      </c>
      <c r="H254" s="104">
        <v>4073.6</v>
      </c>
      <c r="I254" s="99">
        <f t="shared" si="20"/>
        <v>28434.3</v>
      </c>
      <c r="J254" s="104"/>
      <c r="K254" s="96">
        <f t="shared" si="18"/>
        <v>28434.3</v>
      </c>
      <c r="L254" s="106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8" customHeight="1">
      <c r="A255" s="120" t="s">
        <v>438</v>
      </c>
      <c r="B255" s="78">
        <v>803</v>
      </c>
      <c r="C255" s="67" t="s">
        <v>108</v>
      </c>
      <c r="D255" s="67" t="s">
        <v>26</v>
      </c>
      <c r="E255" s="67" t="s">
        <v>495</v>
      </c>
      <c r="F255" s="67" t="s">
        <v>277</v>
      </c>
      <c r="G255" s="96">
        <v>29634.5</v>
      </c>
      <c r="H255" s="104"/>
      <c r="I255" s="99">
        <f t="shared" si="20"/>
        <v>29634.5</v>
      </c>
      <c r="J255" s="104">
        <v>-10.3</v>
      </c>
      <c r="K255" s="96">
        <f t="shared" si="18"/>
        <v>29624.2</v>
      </c>
      <c r="L255" s="106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36" customHeight="1">
      <c r="A256" s="135" t="s">
        <v>496</v>
      </c>
      <c r="B256" s="78">
        <v>803</v>
      </c>
      <c r="C256" s="67" t="s">
        <v>108</v>
      </c>
      <c r="D256" s="67" t="s">
        <v>26</v>
      </c>
      <c r="E256" s="67" t="s">
        <v>497</v>
      </c>
      <c r="F256" s="67"/>
      <c r="G256" s="96">
        <f>G257+G258</f>
        <v>419035.89999999997</v>
      </c>
      <c r="H256" s="99">
        <f>H257+H258</f>
        <v>3000</v>
      </c>
      <c r="I256" s="99">
        <f t="shared" si="20"/>
        <v>422035.89999999997</v>
      </c>
      <c r="J256" s="99">
        <f>J257+J258</f>
        <v>8525.4</v>
      </c>
      <c r="K256" s="96">
        <f t="shared" si="18"/>
        <v>430561.3</v>
      </c>
      <c r="L256" s="106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20.25" customHeight="1">
      <c r="A257" s="135" t="s">
        <v>657</v>
      </c>
      <c r="B257" s="78">
        <v>803</v>
      </c>
      <c r="C257" s="67" t="s">
        <v>108</v>
      </c>
      <c r="D257" s="67" t="s">
        <v>26</v>
      </c>
      <c r="E257" s="67" t="s">
        <v>497</v>
      </c>
      <c r="F257" s="67" t="s">
        <v>334</v>
      </c>
      <c r="G257" s="96">
        <v>2493.6</v>
      </c>
      <c r="H257" s="104"/>
      <c r="I257" s="99">
        <f t="shared" si="20"/>
        <v>2493.6</v>
      </c>
      <c r="J257" s="104"/>
      <c r="K257" s="96">
        <f t="shared" si="18"/>
        <v>2493.6</v>
      </c>
      <c r="L257" s="106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8" customHeight="1">
      <c r="A258" s="120" t="s">
        <v>438</v>
      </c>
      <c r="B258" s="78">
        <v>803</v>
      </c>
      <c r="C258" s="67" t="s">
        <v>108</v>
      </c>
      <c r="D258" s="67" t="s">
        <v>26</v>
      </c>
      <c r="E258" s="67" t="s">
        <v>497</v>
      </c>
      <c r="F258" s="67" t="s">
        <v>277</v>
      </c>
      <c r="G258" s="96">
        <v>416542.3</v>
      </c>
      <c r="H258" s="104">
        <v>3000</v>
      </c>
      <c r="I258" s="99">
        <f t="shared" si="20"/>
        <v>419542.3</v>
      </c>
      <c r="J258" s="104">
        <f>7298.5-3773.1+5000</f>
        <v>8525.4</v>
      </c>
      <c r="K258" s="96">
        <f t="shared" si="18"/>
        <v>428067.7</v>
      </c>
      <c r="L258" s="106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8" customHeight="1">
      <c r="A259" s="135" t="s">
        <v>498</v>
      </c>
      <c r="B259" s="78">
        <v>803</v>
      </c>
      <c r="C259" s="67" t="s">
        <v>108</v>
      </c>
      <c r="D259" s="67" t="s">
        <v>26</v>
      </c>
      <c r="E259" s="67" t="s">
        <v>499</v>
      </c>
      <c r="F259" s="67"/>
      <c r="G259" s="96">
        <f>SUM(G260)</f>
        <v>15026.4</v>
      </c>
      <c r="H259" s="99">
        <f>SUM(H260)</f>
        <v>0</v>
      </c>
      <c r="I259" s="99">
        <f t="shared" si="20"/>
        <v>15026.4</v>
      </c>
      <c r="J259" s="99">
        <f>SUM(J260)</f>
        <v>0</v>
      </c>
      <c r="K259" s="96">
        <f t="shared" si="18"/>
        <v>15026.4</v>
      </c>
      <c r="L259" s="106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8" customHeight="1">
      <c r="A260" s="120" t="s">
        <v>438</v>
      </c>
      <c r="B260" s="78">
        <v>803</v>
      </c>
      <c r="C260" s="67" t="s">
        <v>108</v>
      </c>
      <c r="D260" s="67" t="s">
        <v>26</v>
      </c>
      <c r="E260" s="67" t="s">
        <v>499</v>
      </c>
      <c r="F260" s="67" t="s">
        <v>277</v>
      </c>
      <c r="G260" s="96">
        <v>15026.4</v>
      </c>
      <c r="H260" s="104"/>
      <c r="I260" s="99">
        <f t="shared" si="20"/>
        <v>15026.4</v>
      </c>
      <c r="J260" s="104"/>
      <c r="K260" s="96">
        <f t="shared" si="18"/>
        <v>15026.4</v>
      </c>
      <c r="L260" s="106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8" customHeight="1">
      <c r="A261" s="135" t="s">
        <v>624</v>
      </c>
      <c r="B261" s="78">
        <v>803</v>
      </c>
      <c r="C261" s="67" t="s">
        <v>108</v>
      </c>
      <c r="D261" s="67" t="s">
        <v>26</v>
      </c>
      <c r="E261" s="67" t="s">
        <v>500</v>
      </c>
      <c r="F261" s="67"/>
      <c r="G261" s="96">
        <f>SUM(G262)</f>
        <v>2700.1</v>
      </c>
      <c r="H261" s="99">
        <f>SUM(H262)</f>
        <v>0</v>
      </c>
      <c r="I261" s="99">
        <f t="shared" si="20"/>
        <v>2700.1</v>
      </c>
      <c r="J261" s="99">
        <f>SUM(J262)</f>
        <v>-7.6</v>
      </c>
      <c r="K261" s="96">
        <f t="shared" si="18"/>
        <v>2692.5</v>
      </c>
      <c r="L261" s="106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21" customHeight="1">
      <c r="A262" s="120" t="s">
        <v>438</v>
      </c>
      <c r="B262" s="78">
        <v>803</v>
      </c>
      <c r="C262" s="67" t="s">
        <v>108</v>
      </c>
      <c r="D262" s="67" t="s">
        <v>26</v>
      </c>
      <c r="E262" s="67" t="s">
        <v>500</v>
      </c>
      <c r="F262" s="67" t="s">
        <v>277</v>
      </c>
      <c r="G262" s="96">
        <v>2700.1</v>
      </c>
      <c r="H262" s="104"/>
      <c r="I262" s="99">
        <f t="shared" si="20"/>
        <v>2700.1</v>
      </c>
      <c r="J262" s="104">
        <v>-7.6</v>
      </c>
      <c r="K262" s="96">
        <f t="shared" si="18"/>
        <v>2692.5</v>
      </c>
      <c r="L262" s="106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9.5" customHeight="1" hidden="1">
      <c r="A263" s="135" t="s">
        <v>586</v>
      </c>
      <c r="B263" s="78">
        <v>803</v>
      </c>
      <c r="C263" s="67" t="s">
        <v>108</v>
      </c>
      <c r="D263" s="67" t="s">
        <v>26</v>
      </c>
      <c r="E263" s="67" t="s">
        <v>501</v>
      </c>
      <c r="F263" s="67"/>
      <c r="G263" s="96">
        <f>SUM(G264)</f>
        <v>0</v>
      </c>
      <c r="H263" s="104"/>
      <c r="I263" s="99">
        <f t="shared" si="20"/>
        <v>0</v>
      </c>
      <c r="J263" s="104"/>
      <c r="K263" s="96">
        <f t="shared" si="18"/>
        <v>0</v>
      </c>
      <c r="L263" s="106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8" customHeight="1" hidden="1">
      <c r="A264" s="120" t="s">
        <v>438</v>
      </c>
      <c r="B264" s="78">
        <v>803</v>
      </c>
      <c r="C264" s="67" t="s">
        <v>108</v>
      </c>
      <c r="D264" s="67" t="s">
        <v>26</v>
      </c>
      <c r="E264" s="67" t="s">
        <v>501</v>
      </c>
      <c r="F264" s="67" t="s">
        <v>277</v>
      </c>
      <c r="G264" s="96"/>
      <c r="H264" s="104"/>
      <c r="I264" s="99">
        <f t="shared" si="20"/>
        <v>0</v>
      </c>
      <c r="J264" s="104"/>
      <c r="K264" s="96">
        <f t="shared" si="18"/>
        <v>0</v>
      </c>
      <c r="L264" s="106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8" customHeight="1">
      <c r="A265" s="146" t="s">
        <v>441</v>
      </c>
      <c r="B265" s="78">
        <v>803</v>
      </c>
      <c r="C265" s="67" t="s">
        <v>108</v>
      </c>
      <c r="D265" s="67" t="s">
        <v>26</v>
      </c>
      <c r="E265" s="67" t="s">
        <v>433</v>
      </c>
      <c r="F265" s="67"/>
      <c r="G265" s="96"/>
      <c r="H265" s="104"/>
      <c r="I265" s="99"/>
      <c r="J265" s="104">
        <f>J266</f>
        <v>44.8</v>
      </c>
      <c r="K265" s="96">
        <f t="shared" si="18"/>
        <v>44.8</v>
      </c>
      <c r="L265" s="106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8" customHeight="1">
      <c r="A266" s="146" t="s">
        <v>470</v>
      </c>
      <c r="B266" s="78">
        <v>803</v>
      </c>
      <c r="C266" s="67" t="s">
        <v>108</v>
      </c>
      <c r="D266" s="67" t="s">
        <v>26</v>
      </c>
      <c r="E266" s="67" t="s">
        <v>434</v>
      </c>
      <c r="F266" s="67"/>
      <c r="G266" s="96"/>
      <c r="H266" s="104"/>
      <c r="I266" s="99"/>
      <c r="J266" s="104">
        <f>J267</f>
        <v>44.8</v>
      </c>
      <c r="K266" s="96">
        <f t="shared" si="18"/>
        <v>44.8</v>
      </c>
      <c r="L266" s="106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8" customHeight="1">
      <c r="A267" s="120" t="s">
        <v>524</v>
      </c>
      <c r="B267" s="78">
        <v>803</v>
      </c>
      <c r="C267" s="67" t="s">
        <v>108</v>
      </c>
      <c r="D267" s="67" t="s">
        <v>26</v>
      </c>
      <c r="E267" s="67" t="s">
        <v>445</v>
      </c>
      <c r="F267" s="67"/>
      <c r="G267" s="96"/>
      <c r="H267" s="104"/>
      <c r="I267" s="99"/>
      <c r="J267" s="104">
        <f>J268</f>
        <v>44.8</v>
      </c>
      <c r="K267" s="96">
        <f t="shared" si="18"/>
        <v>44.8</v>
      </c>
      <c r="L267" s="106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8" customHeight="1">
      <c r="A268" s="136" t="s">
        <v>227</v>
      </c>
      <c r="B268" s="78">
        <v>803</v>
      </c>
      <c r="C268" s="67" t="s">
        <v>108</v>
      </c>
      <c r="D268" s="67" t="s">
        <v>26</v>
      </c>
      <c r="E268" s="67" t="s">
        <v>445</v>
      </c>
      <c r="F268" s="67" t="s">
        <v>652</v>
      </c>
      <c r="G268" s="96"/>
      <c r="H268" s="104"/>
      <c r="I268" s="99"/>
      <c r="J268" s="104">
        <v>44.8</v>
      </c>
      <c r="K268" s="96">
        <f t="shared" si="18"/>
        <v>44.8</v>
      </c>
      <c r="L268" s="106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8" customHeight="1">
      <c r="A269" s="136" t="s">
        <v>505</v>
      </c>
      <c r="B269" s="78">
        <v>803</v>
      </c>
      <c r="C269" s="67" t="s">
        <v>108</v>
      </c>
      <c r="D269" s="67" t="s">
        <v>108</v>
      </c>
      <c r="E269" s="67"/>
      <c r="F269" s="67"/>
      <c r="G269" s="96">
        <f>G272</f>
        <v>15972.699999999999</v>
      </c>
      <c r="H269" s="99">
        <f>H272</f>
        <v>4</v>
      </c>
      <c r="I269" s="99">
        <f t="shared" si="20"/>
        <v>15976.699999999999</v>
      </c>
      <c r="J269" s="99">
        <f>J272</f>
        <v>1625</v>
      </c>
      <c r="K269" s="96">
        <f t="shared" si="18"/>
        <v>17601.699999999997</v>
      </c>
      <c r="L269" s="106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51.75" customHeight="1">
      <c r="A270" s="124" t="s">
        <v>93</v>
      </c>
      <c r="B270" s="78">
        <v>803</v>
      </c>
      <c r="C270" s="67" t="s">
        <v>108</v>
      </c>
      <c r="D270" s="67" t="s">
        <v>108</v>
      </c>
      <c r="E270" s="67" t="s">
        <v>94</v>
      </c>
      <c r="F270" s="67"/>
      <c r="G270" s="96">
        <f aca="true" t="shared" si="22" ref="G270:J271">SUM(G271)</f>
        <v>15972.699999999999</v>
      </c>
      <c r="H270" s="99">
        <f t="shared" si="22"/>
        <v>4</v>
      </c>
      <c r="I270" s="99">
        <f t="shared" si="20"/>
        <v>15976.699999999999</v>
      </c>
      <c r="J270" s="99">
        <f t="shared" si="22"/>
        <v>1625</v>
      </c>
      <c r="K270" s="96">
        <f t="shared" si="18"/>
        <v>17601.699999999997</v>
      </c>
      <c r="L270" s="106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9.5" customHeight="1">
      <c r="A271" s="124" t="s">
        <v>673</v>
      </c>
      <c r="B271" s="78">
        <v>803</v>
      </c>
      <c r="C271" s="67" t="s">
        <v>108</v>
      </c>
      <c r="D271" s="67" t="s">
        <v>108</v>
      </c>
      <c r="E271" s="67" t="s">
        <v>96</v>
      </c>
      <c r="F271" s="67"/>
      <c r="G271" s="96">
        <f t="shared" si="22"/>
        <v>15972.699999999999</v>
      </c>
      <c r="H271" s="99">
        <f t="shared" si="22"/>
        <v>4</v>
      </c>
      <c r="I271" s="99">
        <f t="shared" si="20"/>
        <v>15976.699999999999</v>
      </c>
      <c r="J271" s="99">
        <f t="shared" si="22"/>
        <v>1625</v>
      </c>
      <c r="K271" s="96">
        <f t="shared" si="18"/>
        <v>17601.699999999997</v>
      </c>
      <c r="L271" s="106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47" customFormat="1" ht="18" customHeight="1">
      <c r="A272" s="120" t="s">
        <v>438</v>
      </c>
      <c r="B272" s="78">
        <v>803</v>
      </c>
      <c r="C272" s="67" t="s">
        <v>108</v>
      </c>
      <c r="D272" s="67" t="s">
        <v>108</v>
      </c>
      <c r="E272" s="67" t="s">
        <v>96</v>
      </c>
      <c r="F272" s="67" t="s">
        <v>277</v>
      </c>
      <c r="G272" s="96">
        <f>15295.3+723.5-46.1</f>
        <v>15972.699999999999</v>
      </c>
      <c r="H272" s="104">
        <v>4</v>
      </c>
      <c r="I272" s="99">
        <f t="shared" si="20"/>
        <v>15976.699999999999</v>
      </c>
      <c r="J272" s="104">
        <f>1370+55+200</f>
        <v>1625</v>
      </c>
      <c r="K272" s="96">
        <f t="shared" si="18"/>
        <v>17601.699999999997</v>
      </c>
      <c r="L272" s="106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49" customFormat="1" ht="18" customHeight="1">
      <c r="A273" s="137" t="s">
        <v>267</v>
      </c>
      <c r="B273" s="78">
        <v>803</v>
      </c>
      <c r="C273" s="67" t="s">
        <v>28</v>
      </c>
      <c r="D273" s="67"/>
      <c r="E273" s="67"/>
      <c r="F273" s="67"/>
      <c r="G273" s="96">
        <f>G274</f>
        <v>0</v>
      </c>
      <c r="H273" s="104"/>
      <c r="I273" s="99">
        <f t="shared" si="20"/>
        <v>0</v>
      </c>
      <c r="J273" s="104">
        <f>J274</f>
        <v>200</v>
      </c>
      <c r="K273" s="96">
        <f t="shared" si="18"/>
        <v>200</v>
      </c>
      <c r="L273" s="106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49" customFormat="1" ht="18" customHeight="1">
      <c r="A274" s="136" t="s">
        <v>203</v>
      </c>
      <c r="B274" s="78">
        <v>803</v>
      </c>
      <c r="C274" s="67" t="s">
        <v>28</v>
      </c>
      <c r="D274" s="67" t="s">
        <v>108</v>
      </c>
      <c r="E274" s="67"/>
      <c r="F274" s="67"/>
      <c r="G274" s="96">
        <f>G275</f>
        <v>0</v>
      </c>
      <c r="H274" s="104"/>
      <c r="I274" s="99">
        <f t="shared" si="20"/>
        <v>0</v>
      </c>
      <c r="J274" s="104">
        <f>J275</f>
        <v>200</v>
      </c>
      <c r="K274" s="96">
        <f aca="true" t="shared" si="23" ref="K274:K337">I274+J274</f>
        <v>200</v>
      </c>
      <c r="L274" s="106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49" customFormat="1" ht="18" customHeight="1">
      <c r="A275" s="146" t="s">
        <v>441</v>
      </c>
      <c r="B275" s="78">
        <v>803</v>
      </c>
      <c r="C275" s="67" t="s">
        <v>28</v>
      </c>
      <c r="D275" s="67" t="s">
        <v>108</v>
      </c>
      <c r="E275" s="67" t="s">
        <v>433</v>
      </c>
      <c r="F275" s="67"/>
      <c r="G275" s="96">
        <f>G276</f>
        <v>0</v>
      </c>
      <c r="H275" s="104"/>
      <c r="I275" s="99">
        <f t="shared" si="20"/>
        <v>0</v>
      </c>
      <c r="J275" s="104">
        <f>J276</f>
        <v>200</v>
      </c>
      <c r="K275" s="96">
        <f t="shared" si="23"/>
        <v>200</v>
      </c>
      <c r="L275" s="106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49" customFormat="1" ht="18" customHeight="1">
      <c r="A276" s="146" t="s">
        <v>470</v>
      </c>
      <c r="B276" s="78">
        <v>803</v>
      </c>
      <c r="C276" s="67" t="s">
        <v>28</v>
      </c>
      <c r="D276" s="67" t="s">
        <v>108</v>
      </c>
      <c r="E276" s="67" t="s">
        <v>434</v>
      </c>
      <c r="F276" s="67"/>
      <c r="G276" s="96">
        <f>G277</f>
        <v>0</v>
      </c>
      <c r="H276" s="104"/>
      <c r="I276" s="99">
        <f t="shared" si="20"/>
        <v>0</v>
      </c>
      <c r="J276" s="104">
        <f>J277</f>
        <v>200</v>
      </c>
      <c r="K276" s="96">
        <f t="shared" si="23"/>
        <v>200</v>
      </c>
      <c r="L276" s="106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49" customFormat="1" ht="18" customHeight="1">
      <c r="A277" s="136" t="s">
        <v>313</v>
      </c>
      <c r="B277" s="78">
        <v>803</v>
      </c>
      <c r="C277" s="67" t="s">
        <v>28</v>
      </c>
      <c r="D277" s="67" t="s">
        <v>108</v>
      </c>
      <c r="E277" s="67" t="s">
        <v>442</v>
      </c>
      <c r="F277" s="67"/>
      <c r="G277" s="96"/>
      <c r="H277" s="104"/>
      <c r="I277" s="99">
        <f t="shared" si="20"/>
        <v>0</v>
      </c>
      <c r="J277" s="104">
        <f>J278</f>
        <v>200</v>
      </c>
      <c r="K277" s="96">
        <f t="shared" si="23"/>
        <v>200</v>
      </c>
      <c r="L277" s="106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48" customFormat="1" ht="18" customHeight="1">
      <c r="A278" s="135" t="s">
        <v>657</v>
      </c>
      <c r="B278" s="78">
        <v>803</v>
      </c>
      <c r="C278" s="67" t="s">
        <v>28</v>
      </c>
      <c r="D278" s="67" t="s">
        <v>108</v>
      </c>
      <c r="E278" s="67" t="s">
        <v>442</v>
      </c>
      <c r="F278" s="67" t="s">
        <v>334</v>
      </c>
      <c r="G278" s="96"/>
      <c r="H278" s="104"/>
      <c r="I278" s="99"/>
      <c r="J278" s="104">
        <v>200</v>
      </c>
      <c r="K278" s="96">
        <f t="shared" si="23"/>
        <v>200</v>
      </c>
      <c r="L278" s="106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48" customFormat="1" ht="18" customHeight="1">
      <c r="A279" s="136" t="s">
        <v>510</v>
      </c>
      <c r="B279" s="78">
        <v>803</v>
      </c>
      <c r="C279" s="67" t="s">
        <v>589</v>
      </c>
      <c r="D279" s="67"/>
      <c r="E279" s="67"/>
      <c r="F279" s="67"/>
      <c r="G279" s="96">
        <f>G280+G285</f>
        <v>507</v>
      </c>
      <c r="H279" s="99">
        <f>H280+H285</f>
        <v>0</v>
      </c>
      <c r="I279" s="99">
        <f t="shared" si="20"/>
        <v>507</v>
      </c>
      <c r="J279" s="99">
        <f>J280+J285</f>
        <v>-294.8</v>
      </c>
      <c r="K279" s="96">
        <f t="shared" si="23"/>
        <v>212.2</v>
      </c>
      <c r="L279" s="106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8" customHeight="1">
      <c r="A280" s="136" t="s">
        <v>463</v>
      </c>
      <c r="B280" s="78">
        <v>803</v>
      </c>
      <c r="C280" s="67" t="s">
        <v>589</v>
      </c>
      <c r="D280" s="67" t="s">
        <v>26</v>
      </c>
      <c r="E280" s="67"/>
      <c r="F280" s="67"/>
      <c r="G280" s="96">
        <f aca="true" t="shared" si="24" ref="G280:J283">SUM(G281)</f>
        <v>62.2</v>
      </c>
      <c r="H280" s="99">
        <f t="shared" si="24"/>
        <v>0</v>
      </c>
      <c r="I280" s="99">
        <f t="shared" si="20"/>
        <v>62.2</v>
      </c>
      <c r="J280" s="99">
        <f t="shared" si="24"/>
        <v>0</v>
      </c>
      <c r="K280" s="96">
        <f t="shared" si="23"/>
        <v>62.2</v>
      </c>
      <c r="L280" s="106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21" customHeight="1">
      <c r="A281" s="135" t="s">
        <v>511</v>
      </c>
      <c r="B281" s="78">
        <v>803</v>
      </c>
      <c r="C281" s="67" t="s">
        <v>589</v>
      </c>
      <c r="D281" s="67" t="s">
        <v>26</v>
      </c>
      <c r="E281" s="67" t="s">
        <v>535</v>
      </c>
      <c r="F281" s="67"/>
      <c r="G281" s="96">
        <f t="shared" si="24"/>
        <v>62.2</v>
      </c>
      <c r="H281" s="99">
        <f t="shared" si="24"/>
        <v>0</v>
      </c>
      <c r="I281" s="99">
        <f t="shared" si="20"/>
        <v>62.2</v>
      </c>
      <c r="J281" s="99">
        <f t="shared" si="24"/>
        <v>0</v>
      </c>
      <c r="K281" s="96">
        <f t="shared" si="23"/>
        <v>62.2</v>
      </c>
      <c r="L281" s="106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21" customHeight="1">
      <c r="A282" s="146" t="s">
        <v>259</v>
      </c>
      <c r="B282" s="78">
        <v>803</v>
      </c>
      <c r="C282" s="67" t="s">
        <v>589</v>
      </c>
      <c r="D282" s="67" t="s">
        <v>26</v>
      </c>
      <c r="E282" s="67" t="s">
        <v>536</v>
      </c>
      <c r="F282" s="67"/>
      <c r="G282" s="96">
        <f t="shared" si="24"/>
        <v>62.2</v>
      </c>
      <c r="H282" s="99">
        <f t="shared" si="24"/>
        <v>0</v>
      </c>
      <c r="I282" s="99">
        <f t="shared" si="20"/>
        <v>62.2</v>
      </c>
      <c r="J282" s="99">
        <f t="shared" si="24"/>
        <v>0</v>
      </c>
      <c r="K282" s="96">
        <f t="shared" si="23"/>
        <v>62.2</v>
      </c>
      <c r="L282" s="106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8" customHeight="1">
      <c r="A283" s="124" t="s">
        <v>125</v>
      </c>
      <c r="B283" s="78">
        <v>803</v>
      </c>
      <c r="C283" s="67" t="s">
        <v>589</v>
      </c>
      <c r="D283" s="67" t="s">
        <v>26</v>
      </c>
      <c r="E283" s="67" t="s">
        <v>29</v>
      </c>
      <c r="F283" s="67"/>
      <c r="G283" s="96">
        <f t="shared" si="24"/>
        <v>62.2</v>
      </c>
      <c r="H283" s="99">
        <f t="shared" si="24"/>
        <v>0</v>
      </c>
      <c r="I283" s="99">
        <f t="shared" si="20"/>
        <v>62.2</v>
      </c>
      <c r="J283" s="99">
        <f t="shared" si="24"/>
        <v>0</v>
      </c>
      <c r="K283" s="96">
        <f t="shared" si="23"/>
        <v>62.2</v>
      </c>
      <c r="L283" s="106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8" customHeight="1">
      <c r="A284" s="135" t="s">
        <v>534</v>
      </c>
      <c r="B284" s="78">
        <v>803</v>
      </c>
      <c r="C284" s="67" t="s">
        <v>589</v>
      </c>
      <c r="D284" s="67" t="s">
        <v>26</v>
      </c>
      <c r="E284" s="67" t="s">
        <v>29</v>
      </c>
      <c r="F284" s="67" t="s">
        <v>104</v>
      </c>
      <c r="G284" s="96">
        <v>62.2</v>
      </c>
      <c r="H284" s="104"/>
      <c r="I284" s="99">
        <f t="shared" si="20"/>
        <v>62.2</v>
      </c>
      <c r="J284" s="104"/>
      <c r="K284" s="96">
        <f t="shared" si="23"/>
        <v>62.2</v>
      </c>
      <c r="L284" s="106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8" customHeight="1">
      <c r="A285" s="136" t="s">
        <v>816</v>
      </c>
      <c r="B285" s="78">
        <v>803</v>
      </c>
      <c r="C285" s="67" t="s">
        <v>589</v>
      </c>
      <c r="D285" s="67" t="s">
        <v>28</v>
      </c>
      <c r="E285" s="67"/>
      <c r="F285" s="67"/>
      <c r="G285" s="96">
        <f>G289+G286</f>
        <v>444.8</v>
      </c>
      <c r="H285" s="99">
        <f>H289+H286</f>
        <v>0</v>
      </c>
      <c r="I285" s="99">
        <f t="shared" si="20"/>
        <v>444.8</v>
      </c>
      <c r="J285" s="99">
        <f>J289+J286</f>
        <v>-294.8</v>
      </c>
      <c r="K285" s="96">
        <f t="shared" si="23"/>
        <v>150</v>
      </c>
      <c r="L285" s="106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8" customHeight="1">
      <c r="A286" s="120" t="s">
        <v>470</v>
      </c>
      <c r="B286" s="78">
        <v>803</v>
      </c>
      <c r="C286" s="67" t="s">
        <v>589</v>
      </c>
      <c r="D286" s="67" t="s">
        <v>28</v>
      </c>
      <c r="E286" s="67" t="s">
        <v>471</v>
      </c>
      <c r="F286" s="67"/>
      <c r="G286" s="96">
        <f aca="true" t="shared" si="25" ref="G286:J287">G287</f>
        <v>200</v>
      </c>
      <c r="H286" s="99">
        <f t="shared" si="25"/>
        <v>0</v>
      </c>
      <c r="I286" s="99">
        <f t="shared" si="20"/>
        <v>200</v>
      </c>
      <c r="J286" s="99">
        <f t="shared" si="25"/>
        <v>-50</v>
      </c>
      <c r="K286" s="96">
        <f t="shared" si="23"/>
        <v>150</v>
      </c>
      <c r="L286" s="106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33.75" customHeight="1">
      <c r="A287" s="120" t="s">
        <v>518</v>
      </c>
      <c r="B287" s="78">
        <v>803</v>
      </c>
      <c r="C287" s="67" t="s">
        <v>589</v>
      </c>
      <c r="D287" s="67" t="s">
        <v>28</v>
      </c>
      <c r="E287" s="67" t="s">
        <v>553</v>
      </c>
      <c r="F287" s="67"/>
      <c r="G287" s="96">
        <f t="shared" si="25"/>
        <v>200</v>
      </c>
      <c r="H287" s="99">
        <f t="shared" si="25"/>
        <v>0</v>
      </c>
      <c r="I287" s="99">
        <f t="shared" si="20"/>
        <v>200</v>
      </c>
      <c r="J287" s="99">
        <f t="shared" si="25"/>
        <v>-50</v>
      </c>
      <c r="K287" s="96">
        <f t="shared" si="23"/>
        <v>150</v>
      </c>
      <c r="L287" s="106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8" customHeight="1">
      <c r="A288" s="120" t="s">
        <v>620</v>
      </c>
      <c r="B288" s="78">
        <v>803</v>
      </c>
      <c r="C288" s="67" t="s">
        <v>589</v>
      </c>
      <c r="D288" s="67" t="s">
        <v>28</v>
      </c>
      <c r="E288" s="67" t="s">
        <v>553</v>
      </c>
      <c r="F288" s="67" t="s">
        <v>104</v>
      </c>
      <c r="G288" s="96">
        <v>200</v>
      </c>
      <c r="H288" s="104"/>
      <c r="I288" s="99">
        <f t="shared" si="20"/>
        <v>200</v>
      </c>
      <c r="J288" s="104">
        <v>-50</v>
      </c>
      <c r="K288" s="96">
        <f t="shared" si="23"/>
        <v>150</v>
      </c>
      <c r="L288" s="106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8" customHeight="1" hidden="1">
      <c r="A289" s="146" t="s">
        <v>441</v>
      </c>
      <c r="B289" s="78">
        <v>803</v>
      </c>
      <c r="C289" s="67" t="s">
        <v>589</v>
      </c>
      <c r="D289" s="67" t="s">
        <v>28</v>
      </c>
      <c r="E289" s="67" t="s">
        <v>433</v>
      </c>
      <c r="F289" s="67"/>
      <c r="G289" s="96">
        <f aca="true" t="shared" si="26" ref="G289:J291">G290</f>
        <v>244.8</v>
      </c>
      <c r="H289" s="99">
        <f t="shared" si="26"/>
        <v>0</v>
      </c>
      <c r="I289" s="99">
        <f t="shared" si="20"/>
        <v>244.8</v>
      </c>
      <c r="J289" s="99">
        <f t="shared" si="26"/>
        <v>-244.8</v>
      </c>
      <c r="K289" s="96">
        <f t="shared" si="23"/>
        <v>0</v>
      </c>
      <c r="L289" s="106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8" customHeight="1" hidden="1">
      <c r="A290" s="146" t="s">
        <v>470</v>
      </c>
      <c r="B290" s="78">
        <v>803</v>
      </c>
      <c r="C290" s="67" t="s">
        <v>589</v>
      </c>
      <c r="D290" s="67" t="s">
        <v>28</v>
      </c>
      <c r="E290" s="67" t="s">
        <v>434</v>
      </c>
      <c r="F290" s="67"/>
      <c r="G290" s="96">
        <f t="shared" si="26"/>
        <v>244.8</v>
      </c>
      <c r="H290" s="99">
        <f t="shared" si="26"/>
        <v>0</v>
      </c>
      <c r="I290" s="99">
        <f t="shared" si="20"/>
        <v>244.8</v>
      </c>
      <c r="J290" s="99">
        <f t="shared" si="26"/>
        <v>-244.8</v>
      </c>
      <c r="K290" s="96">
        <f t="shared" si="23"/>
        <v>0</v>
      </c>
      <c r="L290" s="106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8" customHeight="1" hidden="1">
      <c r="A291" s="120" t="s">
        <v>524</v>
      </c>
      <c r="B291" s="78">
        <v>803</v>
      </c>
      <c r="C291" s="67" t="s">
        <v>589</v>
      </c>
      <c r="D291" s="67" t="s">
        <v>28</v>
      </c>
      <c r="E291" s="67" t="s">
        <v>445</v>
      </c>
      <c r="F291" s="67"/>
      <c r="G291" s="96">
        <f t="shared" si="26"/>
        <v>244.8</v>
      </c>
      <c r="H291" s="99">
        <f t="shared" si="26"/>
        <v>0</v>
      </c>
      <c r="I291" s="99">
        <f t="shared" si="20"/>
        <v>244.8</v>
      </c>
      <c r="J291" s="99">
        <f t="shared" si="26"/>
        <v>-244.8</v>
      </c>
      <c r="K291" s="96">
        <f t="shared" si="23"/>
        <v>0</v>
      </c>
      <c r="L291" s="106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8" customHeight="1" hidden="1">
      <c r="A292" s="120" t="s">
        <v>620</v>
      </c>
      <c r="B292" s="78">
        <v>803</v>
      </c>
      <c r="C292" s="67" t="s">
        <v>589</v>
      </c>
      <c r="D292" s="67" t="s">
        <v>28</v>
      </c>
      <c r="E292" s="67" t="s">
        <v>445</v>
      </c>
      <c r="F292" s="67" t="s">
        <v>104</v>
      </c>
      <c r="G292" s="96">
        <v>244.8</v>
      </c>
      <c r="H292" s="104"/>
      <c r="I292" s="99">
        <f t="shared" si="20"/>
        <v>244.8</v>
      </c>
      <c r="J292" s="104">
        <v>-244.8</v>
      </c>
      <c r="K292" s="96">
        <f t="shared" si="23"/>
        <v>0</v>
      </c>
      <c r="L292" s="106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33.75" customHeight="1">
      <c r="A293" s="137" t="s">
        <v>158</v>
      </c>
      <c r="B293" s="78">
        <v>804</v>
      </c>
      <c r="C293" s="67"/>
      <c r="D293" s="67"/>
      <c r="E293" s="67"/>
      <c r="F293" s="67"/>
      <c r="G293" s="96">
        <f>G294+G311</f>
        <v>33447.8</v>
      </c>
      <c r="H293" s="99">
        <f>H294+H311</f>
        <v>-522.9</v>
      </c>
      <c r="I293" s="99">
        <f t="shared" si="20"/>
        <v>32924.9</v>
      </c>
      <c r="J293" s="99">
        <f>J294+J311</f>
        <v>2195.1</v>
      </c>
      <c r="K293" s="96">
        <f t="shared" si="23"/>
        <v>35120</v>
      </c>
      <c r="L293" s="106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20.25" customHeight="1">
      <c r="A294" s="137" t="s">
        <v>537</v>
      </c>
      <c r="B294" s="78">
        <v>804</v>
      </c>
      <c r="C294" s="67" t="s">
        <v>27</v>
      </c>
      <c r="D294" s="67"/>
      <c r="E294" s="67"/>
      <c r="F294" s="67"/>
      <c r="G294" s="96">
        <f>SUM(G304,G295)</f>
        <v>33447.8</v>
      </c>
      <c r="H294" s="99">
        <f>SUM(H304,H295)</f>
        <v>-522.9</v>
      </c>
      <c r="I294" s="99">
        <f t="shared" si="20"/>
        <v>32924.9</v>
      </c>
      <c r="J294" s="99">
        <f>SUM(J304,J295)</f>
        <v>2195.1</v>
      </c>
      <c r="K294" s="96">
        <f t="shared" si="23"/>
        <v>35120</v>
      </c>
      <c r="L294" s="106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20.25" customHeight="1">
      <c r="A295" s="120" t="s">
        <v>855</v>
      </c>
      <c r="B295" s="78">
        <v>804</v>
      </c>
      <c r="C295" s="67" t="s">
        <v>27</v>
      </c>
      <c r="D295" s="67" t="s">
        <v>24</v>
      </c>
      <c r="E295" s="67"/>
      <c r="F295" s="67"/>
      <c r="G295" s="96">
        <f aca="true" t="shared" si="27" ref="G295:J297">G296</f>
        <v>0</v>
      </c>
      <c r="H295" s="99">
        <f t="shared" si="27"/>
        <v>0</v>
      </c>
      <c r="I295" s="99">
        <f t="shared" si="20"/>
        <v>0</v>
      </c>
      <c r="J295" s="99">
        <f>J296+J301</f>
        <v>107.10000000000001</v>
      </c>
      <c r="K295" s="96">
        <f t="shared" si="23"/>
        <v>107.10000000000001</v>
      </c>
      <c r="L295" s="106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20.25" customHeight="1">
      <c r="A296" s="120" t="s">
        <v>857</v>
      </c>
      <c r="B296" s="78">
        <v>804</v>
      </c>
      <c r="C296" s="67" t="s">
        <v>27</v>
      </c>
      <c r="D296" s="67" t="s">
        <v>24</v>
      </c>
      <c r="E296" s="67" t="s">
        <v>856</v>
      </c>
      <c r="F296" s="67"/>
      <c r="G296" s="96">
        <f t="shared" si="27"/>
        <v>0</v>
      </c>
      <c r="H296" s="99">
        <f t="shared" si="27"/>
        <v>0</v>
      </c>
      <c r="I296" s="99">
        <f t="shared" si="20"/>
        <v>0</v>
      </c>
      <c r="J296" s="99">
        <f>J297+J299</f>
        <v>101.7</v>
      </c>
      <c r="K296" s="96">
        <f t="shared" si="23"/>
        <v>101.7</v>
      </c>
      <c r="L296" s="106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20.25" customHeight="1" hidden="1">
      <c r="A297" s="120" t="s">
        <v>859</v>
      </c>
      <c r="B297" s="78">
        <v>804</v>
      </c>
      <c r="C297" s="67" t="s">
        <v>27</v>
      </c>
      <c r="D297" s="67" t="s">
        <v>24</v>
      </c>
      <c r="E297" s="67" t="s">
        <v>858</v>
      </c>
      <c r="F297" s="67"/>
      <c r="G297" s="96">
        <f t="shared" si="27"/>
        <v>0</v>
      </c>
      <c r="H297" s="99">
        <f t="shared" si="27"/>
        <v>0</v>
      </c>
      <c r="I297" s="99">
        <f t="shared" si="20"/>
        <v>0</v>
      </c>
      <c r="J297" s="99">
        <f t="shared" si="27"/>
        <v>0</v>
      </c>
      <c r="K297" s="96">
        <f t="shared" si="23"/>
        <v>0</v>
      </c>
      <c r="L297" s="106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20.25" customHeight="1" hidden="1">
      <c r="A298" s="124" t="s">
        <v>63</v>
      </c>
      <c r="B298" s="78">
        <v>804</v>
      </c>
      <c r="C298" s="67" t="s">
        <v>27</v>
      </c>
      <c r="D298" s="67" t="s">
        <v>24</v>
      </c>
      <c r="E298" s="67" t="s">
        <v>858</v>
      </c>
      <c r="F298" s="67" t="s">
        <v>660</v>
      </c>
      <c r="G298" s="96"/>
      <c r="H298" s="99"/>
      <c r="I298" s="99">
        <f t="shared" si="20"/>
        <v>0</v>
      </c>
      <c r="J298" s="99"/>
      <c r="K298" s="96">
        <f t="shared" si="23"/>
        <v>0</v>
      </c>
      <c r="L298" s="106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35.25" customHeight="1">
      <c r="A299" s="124" t="s">
        <v>58</v>
      </c>
      <c r="B299" s="78">
        <v>804</v>
      </c>
      <c r="C299" s="67" t="s">
        <v>27</v>
      </c>
      <c r="D299" s="67" t="s">
        <v>24</v>
      </c>
      <c r="E299" s="67" t="s">
        <v>680</v>
      </c>
      <c r="F299" s="67"/>
      <c r="G299" s="96"/>
      <c r="H299" s="99"/>
      <c r="I299" s="99"/>
      <c r="J299" s="99">
        <f>J300</f>
        <v>101.7</v>
      </c>
      <c r="K299" s="96">
        <f t="shared" si="23"/>
        <v>101.7</v>
      </c>
      <c r="L299" s="106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20.25" customHeight="1">
      <c r="A300" s="124" t="s">
        <v>63</v>
      </c>
      <c r="B300" s="78">
        <v>804</v>
      </c>
      <c r="C300" s="67" t="s">
        <v>27</v>
      </c>
      <c r="D300" s="67" t="s">
        <v>24</v>
      </c>
      <c r="E300" s="67" t="s">
        <v>680</v>
      </c>
      <c r="F300" s="67" t="s">
        <v>660</v>
      </c>
      <c r="G300" s="96"/>
      <c r="H300" s="99"/>
      <c r="I300" s="99"/>
      <c r="J300" s="99">
        <v>101.7</v>
      </c>
      <c r="K300" s="96">
        <f t="shared" si="23"/>
        <v>101.7</v>
      </c>
      <c r="L300" s="106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20.25" customHeight="1">
      <c r="A301" s="124" t="s">
        <v>367</v>
      </c>
      <c r="B301" s="78">
        <v>804</v>
      </c>
      <c r="C301" s="67" t="s">
        <v>27</v>
      </c>
      <c r="D301" s="67" t="s">
        <v>24</v>
      </c>
      <c r="E301" s="67" t="s">
        <v>471</v>
      </c>
      <c r="F301" s="67"/>
      <c r="G301" s="96"/>
      <c r="H301" s="99"/>
      <c r="I301" s="99"/>
      <c r="J301" s="99">
        <f>J302</f>
        <v>5.4</v>
      </c>
      <c r="K301" s="96">
        <f t="shared" si="23"/>
        <v>5.4</v>
      </c>
      <c r="L301" s="106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53.25" customHeight="1">
      <c r="A302" s="124" t="s">
        <v>57</v>
      </c>
      <c r="B302" s="78">
        <v>804</v>
      </c>
      <c r="C302" s="67" t="s">
        <v>27</v>
      </c>
      <c r="D302" s="67" t="s">
        <v>24</v>
      </c>
      <c r="E302" s="67" t="s">
        <v>702</v>
      </c>
      <c r="F302" s="67"/>
      <c r="G302" s="96"/>
      <c r="H302" s="99"/>
      <c r="I302" s="99"/>
      <c r="J302" s="99">
        <f>J303</f>
        <v>5.4</v>
      </c>
      <c r="K302" s="96">
        <f t="shared" si="23"/>
        <v>5.4</v>
      </c>
      <c r="L302" s="106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20.25" customHeight="1">
      <c r="A303" s="124" t="s">
        <v>63</v>
      </c>
      <c r="B303" s="78">
        <v>804</v>
      </c>
      <c r="C303" s="67" t="s">
        <v>27</v>
      </c>
      <c r="D303" s="67" t="s">
        <v>24</v>
      </c>
      <c r="E303" s="67" t="s">
        <v>702</v>
      </c>
      <c r="F303" s="67" t="s">
        <v>660</v>
      </c>
      <c r="G303" s="96"/>
      <c r="H303" s="99"/>
      <c r="I303" s="99"/>
      <c r="J303" s="99">
        <v>5.4</v>
      </c>
      <c r="K303" s="96">
        <f t="shared" si="23"/>
        <v>5.4</v>
      </c>
      <c r="L303" s="106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20.25" customHeight="1">
      <c r="A304" s="136" t="s">
        <v>538</v>
      </c>
      <c r="B304" s="78">
        <v>804</v>
      </c>
      <c r="C304" s="67" t="s">
        <v>27</v>
      </c>
      <c r="D304" s="67" t="s">
        <v>626</v>
      </c>
      <c r="E304" s="67"/>
      <c r="F304" s="67"/>
      <c r="G304" s="96">
        <f>SUM(G305,G308)</f>
        <v>33447.8</v>
      </c>
      <c r="H304" s="99">
        <f>SUM(H305,H308)</f>
        <v>-522.9</v>
      </c>
      <c r="I304" s="99">
        <f t="shared" si="20"/>
        <v>32924.9</v>
      </c>
      <c r="J304" s="99">
        <f>SUM(J305,J308)</f>
        <v>2088</v>
      </c>
      <c r="K304" s="96">
        <f t="shared" si="23"/>
        <v>35012.9</v>
      </c>
      <c r="L304" s="106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50.25" customHeight="1">
      <c r="A305" s="124" t="s">
        <v>93</v>
      </c>
      <c r="B305" s="78">
        <v>804</v>
      </c>
      <c r="C305" s="67" t="s">
        <v>27</v>
      </c>
      <c r="D305" s="67" t="s">
        <v>626</v>
      </c>
      <c r="E305" s="67" t="s">
        <v>94</v>
      </c>
      <c r="F305" s="67"/>
      <c r="G305" s="96">
        <f aca="true" t="shared" si="28" ref="G305:J306">SUM(G306)</f>
        <v>23447.800000000003</v>
      </c>
      <c r="H305" s="99">
        <f t="shared" si="28"/>
        <v>-522.9</v>
      </c>
      <c r="I305" s="99">
        <f t="shared" si="20"/>
        <v>22924.9</v>
      </c>
      <c r="J305" s="99">
        <f t="shared" si="28"/>
        <v>1990</v>
      </c>
      <c r="K305" s="96">
        <f t="shared" si="23"/>
        <v>24914.9</v>
      </c>
      <c r="L305" s="106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20.25" customHeight="1">
      <c r="A306" s="124" t="s">
        <v>673</v>
      </c>
      <c r="B306" s="78">
        <v>804</v>
      </c>
      <c r="C306" s="67" t="s">
        <v>27</v>
      </c>
      <c r="D306" s="67" t="s">
        <v>626</v>
      </c>
      <c r="E306" s="67" t="s">
        <v>96</v>
      </c>
      <c r="F306" s="67"/>
      <c r="G306" s="96">
        <f t="shared" si="28"/>
        <v>23447.800000000003</v>
      </c>
      <c r="H306" s="99">
        <f t="shared" si="28"/>
        <v>-522.9</v>
      </c>
      <c r="I306" s="99">
        <f t="shared" si="20"/>
        <v>22924.9</v>
      </c>
      <c r="J306" s="99">
        <f t="shared" si="28"/>
        <v>1990</v>
      </c>
      <c r="K306" s="96">
        <f t="shared" si="23"/>
        <v>24914.9</v>
      </c>
      <c r="L306" s="106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8" customHeight="1">
      <c r="A307" s="120" t="s">
        <v>438</v>
      </c>
      <c r="B307" s="78">
        <v>804</v>
      </c>
      <c r="C307" s="67" t="s">
        <v>27</v>
      </c>
      <c r="D307" s="67" t="s">
        <v>626</v>
      </c>
      <c r="E307" s="67" t="s">
        <v>96</v>
      </c>
      <c r="F307" s="67" t="s">
        <v>277</v>
      </c>
      <c r="G307" s="96">
        <f>21314.9+2132.9</f>
        <v>23447.800000000003</v>
      </c>
      <c r="H307" s="104">
        <f>-545.3+22.4</f>
        <v>-522.9</v>
      </c>
      <c r="I307" s="99">
        <f aca="true" t="shared" si="29" ref="I307:I373">H307+G307</f>
        <v>22924.9</v>
      </c>
      <c r="J307" s="104">
        <f>1990</f>
        <v>1990</v>
      </c>
      <c r="K307" s="96">
        <f t="shared" si="23"/>
        <v>24914.9</v>
      </c>
      <c r="L307" s="106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8.75" customHeight="1">
      <c r="A308" s="124" t="s">
        <v>526</v>
      </c>
      <c r="B308" s="78">
        <v>804</v>
      </c>
      <c r="C308" s="67" t="s">
        <v>27</v>
      </c>
      <c r="D308" s="67" t="s">
        <v>626</v>
      </c>
      <c r="E308" s="67" t="s">
        <v>539</v>
      </c>
      <c r="F308" s="67"/>
      <c r="G308" s="96">
        <f aca="true" t="shared" si="30" ref="G308:J309">SUM(G309)</f>
        <v>10000</v>
      </c>
      <c r="H308" s="99">
        <f t="shared" si="30"/>
        <v>0</v>
      </c>
      <c r="I308" s="99">
        <f t="shared" si="29"/>
        <v>10000</v>
      </c>
      <c r="J308" s="99">
        <f t="shared" si="30"/>
        <v>98</v>
      </c>
      <c r="K308" s="96">
        <f t="shared" si="23"/>
        <v>10098</v>
      </c>
      <c r="L308" s="106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20.25" customHeight="1">
      <c r="A309" s="150" t="s">
        <v>554</v>
      </c>
      <c r="B309" s="78">
        <v>804</v>
      </c>
      <c r="C309" s="67" t="s">
        <v>27</v>
      </c>
      <c r="D309" s="67" t="s">
        <v>626</v>
      </c>
      <c r="E309" s="67" t="s">
        <v>555</v>
      </c>
      <c r="F309" s="67"/>
      <c r="G309" s="96">
        <f t="shared" si="30"/>
        <v>10000</v>
      </c>
      <c r="H309" s="99">
        <f t="shared" si="30"/>
        <v>0</v>
      </c>
      <c r="I309" s="99">
        <f t="shared" si="29"/>
        <v>10000</v>
      </c>
      <c r="J309" s="99">
        <f t="shared" si="30"/>
        <v>98</v>
      </c>
      <c r="K309" s="96">
        <f t="shared" si="23"/>
        <v>10098</v>
      </c>
      <c r="L309" s="106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8.75" customHeight="1">
      <c r="A310" s="120" t="s">
        <v>438</v>
      </c>
      <c r="B310" s="78">
        <v>804</v>
      </c>
      <c r="C310" s="67" t="s">
        <v>27</v>
      </c>
      <c r="D310" s="67" t="s">
        <v>626</v>
      </c>
      <c r="E310" s="67" t="s">
        <v>555</v>
      </c>
      <c r="F310" s="67" t="s">
        <v>277</v>
      </c>
      <c r="G310" s="96">
        <v>10000</v>
      </c>
      <c r="H310" s="104"/>
      <c r="I310" s="99">
        <f t="shared" si="29"/>
        <v>10000</v>
      </c>
      <c r="J310" s="104">
        <v>98</v>
      </c>
      <c r="K310" s="96">
        <f t="shared" si="23"/>
        <v>10098</v>
      </c>
      <c r="L310" s="106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8.75" customHeight="1" hidden="1">
      <c r="A311" s="136" t="s">
        <v>454</v>
      </c>
      <c r="B311" s="78">
        <v>804</v>
      </c>
      <c r="C311" s="67" t="s">
        <v>625</v>
      </c>
      <c r="D311" s="67"/>
      <c r="E311" s="67"/>
      <c r="F311" s="67"/>
      <c r="G311" s="96">
        <f>G312</f>
        <v>0</v>
      </c>
      <c r="H311" s="104"/>
      <c r="I311" s="99">
        <f t="shared" si="29"/>
        <v>0</v>
      </c>
      <c r="J311" s="104"/>
      <c r="K311" s="96">
        <f t="shared" si="23"/>
        <v>0</v>
      </c>
      <c r="L311" s="106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8.75" customHeight="1" hidden="1">
      <c r="A312" s="136" t="s">
        <v>307</v>
      </c>
      <c r="B312" s="78">
        <v>804</v>
      </c>
      <c r="C312" s="67" t="s">
        <v>625</v>
      </c>
      <c r="D312" s="67" t="s">
        <v>625</v>
      </c>
      <c r="E312" s="67"/>
      <c r="F312" s="67"/>
      <c r="G312" s="96">
        <f>G313</f>
        <v>0</v>
      </c>
      <c r="H312" s="104"/>
      <c r="I312" s="99">
        <f t="shared" si="29"/>
        <v>0</v>
      </c>
      <c r="J312" s="104"/>
      <c r="K312" s="96">
        <f t="shared" si="23"/>
        <v>0</v>
      </c>
      <c r="L312" s="106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8.75" customHeight="1" hidden="1">
      <c r="A313" s="124" t="s">
        <v>286</v>
      </c>
      <c r="B313" s="78">
        <v>804</v>
      </c>
      <c r="C313" s="67" t="s">
        <v>625</v>
      </c>
      <c r="D313" s="67" t="s">
        <v>625</v>
      </c>
      <c r="E313" s="67" t="s">
        <v>591</v>
      </c>
      <c r="F313" s="67"/>
      <c r="G313" s="96">
        <f>G314</f>
        <v>0</v>
      </c>
      <c r="H313" s="104"/>
      <c r="I313" s="99">
        <f t="shared" si="29"/>
        <v>0</v>
      </c>
      <c r="J313" s="104"/>
      <c r="K313" s="96">
        <f t="shared" si="23"/>
        <v>0</v>
      </c>
      <c r="L313" s="106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8.75" customHeight="1" hidden="1">
      <c r="A314" s="146" t="s">
        <v>393</v>
      </c>
      <c r="B314" s="78">
        <v>804</v>
      </c>
      <c r="C314" s="67" t="s">
        <v>625</v>
      </c>
      <c r="D314" s="67" t="s">
        <v>625</v>
      </c>
      <c r="E314" s="67" t="s">
        <v>633</v>
      </c>
      <c r="F314" s="67"/>
      <c r="G314" s="96">
        <f>G315</f>
        <v>0</v>
      </c>
      <c r="H314" s="104"/>
      <c r="I314" s="99">
        <f t="shared" si="29"/>
        <v>0</v>
      </c>
      <c r="J314" s="104"/>
      <c r="K314" s="96">
        <f t="shared" si="23"/>
        <v>0</v>
      </c>
      <c r="L314" s="106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8.75" customHeight="1" hidden="1">
      <c r="A315" s="136" t="s">
        <v>653</v>
      </c>
      <c r="B315" s="78">
        <v>804</v>
      </c>
      <c r="C315" s="67" t="s">
        <v>625</v>
      </c>
      <c r="D315" s="67" t="s">
        <v>625</v>
      </c>
      <c r="E315" s="67" t="s">
        <v>633</v>
      </c>
      <c r="F315" s="67" t="s">
        <v>652</v>
      </c>
      <c r="G315" s="96"/>
      <c r="H315" s="104"/>
      <c r="I315" s="99">
        <f t="shared" si="29"/>
        <v>0</v>
      </c>
      <c r="J315" s="104"/>
      <c r="K315" s="96">
        <f t="shared" si="23"/>
        <v>0</v>
      </c>
      <c r="L315" s="106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9.5" customHeight="1">
      <c r="A316" s="137" t="s">
        <v>159</v>
      </c>
      <c r="B316" s="78">
        <v>805</v>
      </c>
      <c r="C316" s="67"/>
      <c r="D316" s="67"/>
      <c r="E316" s="67"/>
      <c r="F316" s="67"/>
      <c r="G316" s="96">
        <f>SUM(G327,G444,G431,G317,)</f>
        <v>2023508.3000000003</v>
      </c>
      <c r="H316" s="99">
        <f>SUM(H327,H444,H431,H317,)</f>
        <v>85795.1</v>
      </c>
      <c r="I316" s="99">
        <f t="shared" si="29"/>
        <v>2109303.4000000004</v>
      </c>
      <c r="J316" s="99">
        <f>SUM(J327,J444,J431,J317,J436)</f>
        <v>96947.3</v>
      </c>
      <c r="K316" s="96">
        <f t="shared" si="23"/>
        <v>2206250.7</v>
      </c>
      <c r="L316" s="106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9.5" customHeight="1">
      <c r="A317" s="137" t="s">
        <v>537</v>
      </c>
      <c r="B317" s="78">
        <v>805</v>
      </c>
      <c r="C317" s="67" t="s">
        <v>27</v>
      </c>
      <c r="D317" s="67"/>
      <c r="E317" s="67"/>
      <c r="F317" s="67"/>
      <c r="G317" s="96">
        <f>G318</f>
        <v>0</v>
      </c>
      <c r="H317" s="99">
        <f>H318</f>
        <v>0</v>
      </c>
      <c r="I317" s="99">
        <f t="shared" si="29"/>
        <v>0</v>
      </c>
      <c r="J317" s="99">
        <f>J318</f>
        <v>2140.8</v>
      </c>
      <c r="K317" s="96">
        <f t="shared" si="23"/>
        <v>2140.8</v>
      </c>
      <c r="L317" s="106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9.5" customHeight="1">
      <c r="A318" s="120" t="s">
        <v>855</v>
      </c>
      <c r="B318" s="78">
        <v>805</v>
      </c>
      <c r="C318" s="67" t="s">
        <v>27</v>
      </c>
      <c r="D318" s="67" t="s">
        <v>24</v>
      </c>
      <c r="E318" s="67"/>
      <c r="F318" s="67"/>
      <c r="G318" s="96">
        <f>G319+G324</f>
        <v>0</v>
      </c>
      <c r="H318" s="99">
        <f>H319+H324</f>
        <v>0</v>
      </c>
      <c r="I318" s="99">
        <f t="shared" si="29"/>
        <v>0</v>
      </c>
      <c r="J318" s="99">
        <f>J319+J324</f>
        <v>2140.8</v>
      </c>
      <c r="K318" s="96">
        <f t="shared" si="23"/>
        <v>2140.8</v>
      </c>
      <c r="L318" s="106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9.5" customHeight="1">
      <c r="A319" s="120" t="s">
        <v>857</v>
      </c>
      <c r="B319" s="78">
        <v>805</v>
      </c>
      <c r="C319" s="67" t="s">
        <v>27</v>
      </c>
      <c r="D319" s="67" t="s">
        <v>24</v>
      </c>
      <c r="E319" s="67" t="s">
        <v>856</v>
      </c>
      <c r="F319" s="67"/>
      <c r="G319" s="96">
        <f>G320+G322</f>
        <v>0</v>
      </c>
      <c r="H319" s="99">
        <f>H320+H322</f>
        <v>0</v>
      </c>
      <c r="I319" s="99">
        <f t="shared" si="29"/>
        <v>0</v>
      </c>
      <c r="J319" s="99">
        <f>J320+J322</f>
        <v>2033.8</v>
      </c>
      <c r="K319" s="96">
        <f t="shared" si="23"/>
        <v>2033.8</v>
      </c>
      <c r="L319" s="106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9.5" customHeight="1" hidden="1">
      <c r="A320" s="120" t="s">
        <v>859</v>
      </c>
      <c r="B320" s="78">
        <v>805</v>
      </c>
      <c r="C320" s="67" t="s">
        <v>27</v>
      </c>
      <c r="D320" s="67" t="s">
        <v>24</v>
      </c>
      <c r="E320" s="67" t="s">
        <v>858</v>
      </c>
      <c r="F320" s="67"/>
      <c r="G320" s="96">
        <f>G321</f>
        <v>0</v>
      </c>
      <c r="H320" s="99">
        <f>H321</f>
        <v>0</v>
      </c>
      <c r="I320" s="99">
        <f t="shared" si="29"/>
        <v>0</v>
      </c>
      <c r="J320" s="99">
        <f>J321</f>
        <v>0</v>
      </c>
      <c r="K320" s="96">
        <f t="shared" si="23"/>
        <v>0</v>
      </c>
      <c r="L320" s="106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9.5" customHeight="1" hidden="1">
      <c r="A321" s="124" t="s">
        <v>63</v>
      </c>
      <c r="B321" s="78">
        <v>805</v>
      </c>
      <c r="C321" s="67" t="s">
        <v>27</v>
      </c>
      <c r="D321" s="67" t="s">
        <v>24</v>
      </c>
      <c r="E321" s="67" t="s">
        <v>858</v>
      </c>
      <c r="F321" s="67" t="s">
        <v>660</v>
      </c>
      <c r="G321" s="96"/>
      <c r="H321" s="99"/>
      <c r="I321" s="99">
        <f t="shared" si="29"/>
        <v>0</v>
      </c>
      <c r="J321" s="99"/>
      <c r="K321" s="96">
        <f t="shared" si="23"/>
        <v>0</v>
      </c>
      <c r="L321" s="106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33.75" customHeight="1">
      <c r="A322" s="124" t="s">
        <v>58</v>
      </c>
      <c r="B322" s="78">
        <v>805</v>
      </c>
      <c r="C322" s="67" t="s">
        <v>27</v>
      </c>
      <c r="D322" s="67" t="s">
        <v>24</v>
      </c>
      <c r="E322" s="67" t="s">
        <v>680</v>
      </c>
      <c r="F322" s="67"/>
      <c r="G322" s="96">
        <f>G323</f>
        <v>0</v>
      </c>
      <c r="H322" s="99">
        <f>H323</f>
        <v>0</v>
      </c>
      <c r="I322" s="99">
        <f t="shared" si="29"/>
        <v>0</v>
      </c>
      <c r="J322" s="99">
        <f>J323</f>
        <v>2033.8</v>
      </c>
      <c r="K322" s="96">
        <f t="shared" si="23"/>
        <v>2033.8</v>
      </c>
      <c r="L322" s="106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9.5" customHeight="1">
      <c r="A323" s="124" t="s">
        <v>63</v>
      </c>
      <c r="B323" s="78">
        <v>805</v>
      </c>
      <c r="C323" s="67" t="s">
        <v>27</v>
      </c>
      <c r="D323" s="67" t="s">
        <v>24</v>
      </c>
      <c r="E323" s="67" t="s">
        <v>680</v>
      </c>
      <c r="F323" s="67" t="s">
        <v>660</v>
      </c>
      <c r="G323" s="96"/>
      <c r="H323" s="99"/>
      <c r="I323" s="99">
        <f t="shared" si="29"/>
        <v>0</v>
      </c>
      <c r="J323" s="99">
        <v>2033.8</v>
      </c>
      <c r="K323" s="96">
        <f t="shared" si="23"/>
        <v>2033.8</v>
      </c>
      <c r="L323" s="106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9.5" customHeight="1">
      <c r="A324" s="124" t="s">
        <v>367</v>
      </c>
      <c r="B324" s="78">
        <v>805</v>
      </c>
      <c r="C324" s="67" t="s">
        <v>27</v>
      </c>
      <c r="D324" s="67" t="s">
        <v>24</v>
      </c>
      <c r="E324" s="67" t="s">
        <v>471</v>
      </c>
      <c r="F324" s="67"/>
      <c r="G324" s="96">
        <f aca="true" t="shared" si="31" ref="G324:J325">G325</f>
        <v>0</v>
      </c>
      <c r="H324" s="99">
        <f t="shared" si="31"/>
        <v>0</v>
      </c>
      <c r="I324" s="99">
        <f t="shared" si="29"/>
        <v>0</v>
      </c>
      <c r="J324" s="99">
        <f t="shared" si="31"/>
        <v>107</v>
      </c>
      <c r="K324" s="96">
        <f t="shared" si="23"/>
        <v>107</v>
      </c>
      <c r="L324" s="106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52.5" customHeight="1">
      <c r="A325" s="124" t="s">
        <v>57</v>
      </c>
      <c r="B325" s="78">
        <v>805</v>
      </c>
      <c r="C325" s="67" t="s">
        <v>27</v>
      </c>
      <c r="D325" s="67" t="s">
        <v>24</v>
      </c>
      <c r="E325" s="67" t="s">
        <v>702</v>
      </c>
      <c r="F325" s="67"/>
      <c r="G325" s="96">
        <f t="shared" si="31"/>
        <v>0</v>
      </c>
      <c r="H325" s="99">
        <f t="shared" si="31"/>
        <v>0</v>
      </c>
      <c r="I325" s="99">
        <f t="shared" si="29"/>
        <v>0</v>
      </c>
      <c r="J325" s="99">
        <f t="shared" si="31"/>
        <v>107</v>
      </c>
      <c r="K325" s="96">
        <f t="shared" si="23"/>
        <v>107</v>
      </c>
      <c r="L325" s="106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9.5" customHeight="1">
      <c r="A326" s="124" t="s">
        <v>63</v>
      </c>
      <c r="B326" s="78">
        <v>805</v>
      </c>
      <c r="C326" s="67" t="s">
        <v>27</v>
      </c>
      <c r="D326" s="67" t="s">
        <v>24</v>
      </c>
      <c r="E326" s="67" t="s">
        <v>702</v>
      </c>
      <c r="F326" s="67" t="s">
        <v>660</v>
      </c>
      <c r="G326" s="96"/>
      <c r="H326" s="99"/>
      <c r="I326" s="99">
        <f t="shared" si="29"/>
        <v>0</v>
      </c>
      <c r="J326" s="99">
        <v>107</v>
      </c>
      <c r="K326" s="96">
        <f t="shared" si="23"/>
        <v>107</v>
      </c>
      <c r="L326" s="106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9.5" customHeight="1">
      <c r="A327" s="136" t="s">
        <v>507</v>
      </c>
      <c r="B327" s="78">
        <v>805</v>
      </c>
      <c r="C327" s="67" t="s">
        <v>625</v>
      </c>
      <c r="D327" s="67"/>
      <c r="E327" s="67"/>
      <c r="F327" s="67"/>
      <c r="G327" s="96">
        <f>SUM(G328,G338,G379,G394,G375,G385)</f>
        <v>1938389.5000000002</v>
      </c>
      <c r="H327" s="99">
        <f>SUM(H328,H338,H379,H394,H375,H385)</f>
        <v>85795.1</v>
      </c>
      <c r="I327" s="99">
        <f t="shared" si="29"/>
        <v>2024184.6000000003</v>
      </c>
      <c r="J327" s="99">
        <f>SUM(J328,J338,J379,J394,J375,J385)</f>
        <v>92945.7</v>
      </c>
      <c r="K327" s="96">
        <f t="shared" si="23"/>
        <v>2117130.3000000003</v>
      </c>
      <c r="L327" s="106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6.5">
      <c r="A328" s="136" t="s">
        <v>556</v>
      </c>
      <c r="B328" s="78">
        <v>805</v>
      </c>
      <c r="C328" s="67" t="s">
        <v>625</v>
      </c>
      <c r="D328" s="67" t="s">
        <v>24</v>
      </c>
      <c r="E328" s="67"/>
      <c r="F328" s="67"/>
      <c r="G328" s="96">
        <f>SUM(G329,G334)</f>
        <v>859248.9</v>
      </c>
      <c r="H328" s="99">
        <f>SUM(H329,H334)</f>
        <v>49689.3</v>
      </c>
      <c r="I328" s="99">
        <f t="shared" si="29"/>
        <v>908938.2000000001</v>
      </c>
      <c r="J328" s="99">
        <f>SUM(J329,J334)</f>
        <v>61872.7</v>
      </c>
      <c r="K328" s="96">
        <f t="shared" si="23"/>
        <v>970810.9</v>
      </c>
      <c r="L328" s="106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7.25" customHeight="1">
      <c r="A329" s="136" t="s">
        <v>766</v>
      </c>
      <c r="B329" s="78">
        <v>805</v>
      </c>
      <c r="C329" s="67" t="s">
        <v>625</v>
      </c>
      <c r="D329" s="67" t="s">
        <v>24</v>
      </c>
      <c r="E329" s="67" t="s">
        <v>557</v>
      </c>
      <c r="F329" s="67"/>
      <c r="G329" s="96">
        <f>SUM(G330,G332)</f>
        <v>856504.3</v>
      </c>
      <c r="H329" s="99">
        <f>SUM(H330,H332)</f>
        <v>49689.3</v>
      </c>
      <c r="I329" s="99">
        <f t="shared" si="29"/>
        <v>906193.6000000001</v>
      </c>
      <c r="J329" s="99">
        <f>SUM(J330,J332)</f>
        <v>61872.7</v>
      </c>
      <c r="K329" s="96">
        <f t="shared" si="23"/>
        <v>968066.3</v>
      </c>
      <c r="L329" s="106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8" customHeight="1">
      <c r="A330" s="136" t="s">
        <v>677</v>
      </c>
      <c r="B330" s="78">
        <v>805</v>
      </c>
      <c r="C330" s="67" t="s">
        <v>625</v>
      </c>
      <c r="D330" s="67" t="s">
        <v>24</v>
      </c>
      <c r="E330" s="67" t="s">
        <v>594</v>
      </c>
      <c r="F330" s="67"/>
      <c r="G330" s="96">
        <f>SUM(G331)</f>
        <v>28132</v>
      </c>
      <c r="H330" s="99">
        <f>SUM(H331)</f>
        <v>0</v>
      </c>
      <c r="I330" s="99">
        <f t="shared" si="29"/>
        <v>28132</v>
      </c>
      <c r="J330" s="99">
        <f>SUM(J331)</f>
        <v>0</v>
      </c>
      <c r="K330" s="96">
        <f t="shared" si="23"/>
        <v>28132</v>
      </c>
      <c r="L330" s="106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6.5">
      <c r="A331" s="124" t="s">
        <v>63</v>
      </c>
      <c r="B331" s="78">
        <v>805</v>
      </c>
      <c r="C331" s="67" t="s">
        <v>625</v>
      </c>
      <c r="D331" s="67" t="s">
        <v>24</v>
      </c>
      <c r="E331" s="67" t="s">
        <v>594</v>
      </c>
      <c r="F331" s="67" t="s">
        <v>660</v>
      </c>
      <c r="G331" s="96">
        <v>28132</v>
      </c>
      <c r="H331" s="108"/>
      <c r="I331" s="99">
        <f t="shared" si="29"/>
        <v>28132</v>
      </c>
      <c r="J331" s="108"/>
      <c r="K331" s="96">
        <f t="shared" si="23"/>
        <v>28132</v>
      </c>
      <c r="L331" s="106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8" customHeight="1">
      <c r="A332" s="136" t="s">
        <v>655</v>
      </c>
      <c r="B332" s="78">
        <v>805</v>
      </c>
      <c r="C332" s="67" t="s">
        <v>625</v>
      </c>
      <c r="D332" s="67" t="s">
        <v>24</v>
      </c>
      <c r="E332" s="67" t="s">
        <v>558</v>
      </c>
      <c r="F332" s="67"/>
      <c r="G332" s="96">
        <f>SUM(G333)</f>
        <v>828372.3</v>
      </c>
      <c r="H332" s="99">
        <f>SUM(H333)</f>
        <v>49689.3</v>
      </c>
      <c r="I332" s="99">
        <f t="shared" si="29"/>
        <v>878061.6000000001</v>
      </c>
      <c r="J332" s="99">
        <f>SUM(J333)</f>
        <v>61872.7</v>
      </c>
      <c r="K332" s="96">
        <f t="shared" si="23"/>
        <v>939934.3</v>
      </c>
      <c r="L332" s="106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9.5" customHeight="1">
      <c r="A333" s="124" t="s">
        <v>63</v>
      </c>
      <c r="B333" s="78">
        <v>805</v>
      </c>
      <c r="C333" s="67" t="s">
        <v>625</v>
      </c>
      <c r="D333" s="67" t="s">
        <v>24</v>
      </c>
      <c r="E333" s="67" t="s">
        <v>558</v>
      </c>
      <c r="F333" s="67" t="s">
        <v>660</v>
      </c>
      <c r="G333" s="96">
        <v>828372.3</v>
      </c>
      <c r="H333" s="104">
        <f>13239+394.3+36056</f>
        <v>49689.3</v>
      </c>
      <c r="I333" s="99">
        <f t="shared" si="29"/>
        <v>878061.6000000001</v>
      </c>
      <c r="J333" s="104">
        <f>5986.1+55886.6</f>
        <v>61872.7</v>
      </c>
      <c r="K333" s="96">
        <f t="shared" si="23"/>
        <v>939934.3</v>
      </c>
      <c r="L333" s="106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12" s="38" customFormat="1" ht="18" customHeight="1">
      <c r="A334" s="144" t="s">
        <v>718</v>
      </c>
      <c r="B334" s="78">
        <v>805</v>
      </c>
      <c r="C334" s="67" t="s">
        <v>625</v>
      </c>
      <c r="D334" s="67" t="s">
        <v>24</v>
      </c>
      <c r="E334" s="67" t="s">
        <v>80</v>
      </c>
      <c r="F334" s="67"/>
      <c r="G334" s="96">
        <f>G336</f>
        <v>2744.6</v>
      </c>
      <c r="H334" s="99">
        <f>H336</f>
        <v>0</v>
      </c>
      <c r="I334" s="99">
        <f t="shared" si="29"/>
        <v>2744.6</v>
      </c>
      <c r="J334" s="99">
        <f>J336</f>
        <v>0</v>
      </c>
      <c r="K334" s="96">
        <f t="shared" si="23"/>
        <v>2744.6</v>
      </c>
      <c r="L334" s="106"/>
    </row>
    <row r="335" spans="1:12" s="38" customFormat="1" ht="34.5" customHeight="1">
      <c r="A335" s="124" t="s">
        <v>767</v>
      </c>
      <c r="B335" s="78">
        <v>805</v>
      </c>
      <c r="C335" s="67" t="s">
        <v>625</v>
      </c>
      <c r="D335" s="67" t="s">
        <v>24</v>
      </c>
      <c r="E335" s="67" t="s">
        <v>83</v>
      </c>
      <c r="F335" s="67"/>
      <c r="G335" s="96">
        <f aca="true" t="shared" si="32" ref="G335:J336">G336</f>
        <v>2744.6</v>
      </c>
      <c r="H335" s="99">
        <f t="shared" si="32"/>
        <v>0</v>
      </c>
      <c r="I335" s="99">
        <f t="shared" si="29"/>
        <v>2744.6</v>
      </c>
      <c r="J335" s="99">
        <f t="shared" si="32"/>
        <v>0</v>
      </c>
      <c r="K335" s="96">
        <f t="shared" si="23"/>
        <v>2744.6</v>
      </c>
      <c r="L335" s="106"/>
    </row>
    <row r="336" spans="1:12" s="38" customFormat="1" ht="70.5" customHeight="1">
      <c r="A336" s="124" t="s">
        <v>173</v>
      </c>
      <c r="B336" s="78">
        <v>805</v>
      </c>
      <c r="C336" s="67" t="s">
        <v>625</v>
      </c>
      <c r="D336" s="67" t="s">
        <v>24</v>
      </c>
      <c r="E336" s="67" t="s">
        <v>577</v>
      </c>
      <c r="F336" s="67"/>
      <c r="G336" s="96">
        <f t="shared" si="32"/>
        <v>2744.6</v>
      </c>
      <c r="H336" s="99">
        <f t="shared" si="32"/>
        <v>0</v>
      </c>
      <c r="I336" s="99">
        <f t="shared" si="29"/>
        <v>2744.6</v>
      </c>
      <c r="J336" s="99">
        <f t="shared" si="32"/>
        <v>0</v>
      </c>
      <c r="K336" s="96">
        <f t="shared" si="23"/>
        <v>2744.6</v>
      </c>
      <c r="L336" s="106"/>
    </row>
    <row r="337" spans="1:12" s="38" customFormat="1" ht="18" customHeight="1">
      <c r="A337" s="124" t="s">
        <v>63</v>
      </c>
      <c r="B337" s="78">
        <v>805</v>
      </c>
      <c r="C337" s="67" t="s">
        <v>625</v>
      </c>
      <c r="D337" s="67" t="s">
        <v>24</v>
      </c>
      <c r="E337" s="67" t="s">
        <v>577</v>
      </c>
      <c r="F337" s="67" t="s">
        <v>660</v>
      </c>
      <c r="G337" s="96">
        <v>2744.6</v>
      </c>
      <c r="H337" s="104"/>
      <c r="I337" s="99">
        <f t="shared" si="29"/>
        <v>2744.6</v>
      </c>
      <c r="J337" s="104"/>
      <c r="K337" s="96">
        <f t="shared" si="23"/>
        <v>2744.6</v>
      </c>
      <c r="L337" s="106"/>
    </row>
    <row r="338" spans="1:26" ht="19.5" customHeight="1">
      <c r="A338" s="136" t="s">
        <v>194</v>
      </c>
      <c r="B338" s="78">
        <v>805</v>
      </c>
      <c r="C338" s="67" t="s">
        <v>625</v>
      </c>
      <c r="D338" s="67" t="s">
        <v>25</v>
      </c>
      <c r="E338" s="67"/>
      <c r="F338" s="67"/>
      <c r="G338" s="96">
        <f>SUM(G339,G347,G352,G355,G367,G358,)</f>
        <v>997074.2</v>
      </c>
      <c r="H338" s="99">
        <f>SUM(H339,H347,H352,H355,H367,H358,)</f>
        <v>32291.7</v>
      </c>
      <c r="I338" s="99">
        <f t="shared" si="29"/>
        <v>1029365.8999999999</v>
      </c>
      <c r="J338" s="99">
        <f>SUM(J339,J347,J352,J355,J367,J358,J364)</f>
        <v>27993.6</v>
      </c>
      <c r="K338" s="96">
        <f aca="true" t="shared" si="33" ref="K338:K401">I338+J338</f>
        <v>1057359.5</v>
      </c>
      <c r="L338" s="106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8" customHeight="1">
      <c r="A339" s="136" t="s">
        <v>373</v>
      </c>
      <c r="B339" s="78">
        <v>805</v>
      </c>
      <c r="C339" s="67" t="s">
        <v>625</v>
      </c>
      <c r="D339" s="67" t="s">
        <v>25</v>
      </c>
      <c r="E339" s="67" t="s">
        <v>559</v>
      </c>
      <c r="F339" s="67"/>
      <c r="G339" s="96">
        <f>SUM(G340,G342)</f>
        <v>674483.8</v>
      </c>
      <c r="H339" s="99">
        <f>SUM(H340,H342)</f>
        <v>23796.4</v>
      </c>
      <c r="I339" s="99">
        <f t="shared" si="29"/>
        <v>698280.2000000001</v>
      </c>
      <c r="J339" s="99">
        <f>SUM(J340,J342)</f>
        <v>500</v>
      </c>
      <c r="K339" s="96">
        <f t="shared" si="33"/>
        <v>698780.2000000001</v>
      </c>
      <c r="L339" s="106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8.75" customHeight="1">
      <c r="A340" s="136" t="s">
        <v>677</v>
      </c>
      <c r="B340" s="78">
        <v>805</v>
      </c>
      <c r="C340" s="67" t="s">
        <v>625</v>
      </c>
      <c r="D340" s="67" t="s">
        <v>25</v>
      </c>
      <c r="E340" s="67" t="s">
        <v>595</v>
      </c>
      <c r="F340" s="67"/>
      <c r="G340" s="96">
        <f>SUM(G341)</f>
        <v>26728.8</v>
      </c>
      <c r="H340" s="99">
        <f>SUM(H341)</f>
        <v>0</v>
      </c>
      <c r="I340" s="99">
        <f t="shared" si="29"/>
        <v>26728.8</v>
      </c>
      <c r="J340" s="99">
        <f>SUM(J341)</f>
        <v>0</v>
      </c>
      <c r="K340" s="96">
        <f t="shared" si="33"/>
        <v>26728.8</v>
      </c>
      <c r="L340" s="106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6.5">
      <c r="A341" s="124" t="s">
        <v>63</v>
      </c>
      <c r="B341" s="78">
        <v>805</v>
      </c>
      <c r="C341" s="67" t="s">
        <v>625</v>
      </c>
      <c r="D341" s="67" t="s">
        <v>25</v>
      </c>
      <c r="E341" s="67" t="s">
        <v>595</v>
      </c>
      <c r="F341" s="67" t="s">
        <v>660</v>
      </c>
      <c r="G341" s="96">
        <v>26728.8</v>
      </c>
      <c r="H341" s="104"/>
      <c r="I341" s="99">
        <f t="shared" si="29"/>
        <v>26728.8</v>
      </c>
      <c r="J341" s="104"/>
      <c r="K341" s="96">
        <f t="shared" si="33"/>
        <v>26728.8</v>
      </c>
      <c r="L341" s="106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8.75" customHeight="1">
      <c r="A342" s="136" t="s">
        <v>655</v>
      </c>
      <c r="B342" s="78">
        <v>805</v>
      </c>
      <c r="C342" s="67" t="s">
        <v>625</v>
      </c>
      <c r="D342" s="67" t="s">
        <v>25</v>
      </c>
      <c r="E342" s="67" t="s">
        <v>560</v>
      </c>
      <c r="F342" s="67"/>
      <c r="G342" s="96">
        <f>SUM(G343:G346)</f>
        <v>647755</v>
      </c>
      <c r="H342" s="99">
        <f>SUM(H343:H346)</f>
        <v>23796.4</v>
      </c>
      <c r="I342" s="99">
        <f t="shared" si="29"/>
        <v>671551.4</v>
      </c>
      <c r="J342" s="99">
        <f>SUM(J343:J346)</f>
        <v>500</v>
      </c>
      <c r="K342" s="96">
        <f t="shared" si="33"/>
        <v>672051.4</v>
      </c>
      <c r="L342" s="106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6.5">
      <c r="A343" s="124" t="s">
        <v>63</v>
      </c>
      <c r="B343" s="78">
        <v>805</v>
      </c>
      <c r="C343" s="67" t="s">
        <v>625</v>
      </c>
      <c r="D343" s="67" t="s">
        <v>25</v>
      </c>
      <c r="E343" s="67" t="s">
        <v>560</v>
      </c>
      <c r="F343" s="67" t="s">
        <v>660</v>
      </c>
      <c r="G343" s="96">
        <v>117977.4</v>
      </c>
      <c r="H343" s="104">
        <f>832.9+22963.5</f>
        <v>23796.4</v>
      </c>
      <c r="I343" s="99">
        <f t="shared" si="29"/>
        <v>141773.8</v>
      </c>
      <c r="J343" s="104">
        <v>500</v>
      </c>
      <c r="K343" s="96">
        <f t="shared" si="33"/>
        <v>142273.8</v>
      </c>
      <c r="L343" s="106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6.5">
      <c r="A344" s="124" t="s">
        <v>263</v>
      </c>
      <c r="B344" s="78">
        <v>805</v>
      </c>
      <c r="C344" s="67" t="s">
        <v>625</v>
      </c>
      <c r="D344" s="67" t="s">
        <v>25</v>
      </c>
      <c r="E344" s="67" t="s">
        <v>560</v>
      </c>
      <c r="F344" s="67" t="s">
        <v>570</v>
      </c>
      <c r="G344" s="96">
        <v>529777.6</v>
      </c>
      <c r="H344" s="104"/>
      <c r="I344" s="99">
        <f t="shared" si="29"/>
        <v>529777.6</v>
      </c>
      <c r="J344" s="104"/>
      <c r="K344" s="96">
        <f t="shared" si="33"/>
        <v>529777.6</v>
      </c>
      <c r="L344" s="106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35.25" customHeight="1" hidden="1">
      <c r="A345" s="151" t="s">
        <v>667</v>
      </c>
      <c r="B345" s="78">
        <v>805</v>
      </c>
      <c r="C345" s="67" t="s">
        <v>625</v>
      </c>
      <c r="D345" s="67" t="s">
        <v>25</v>
      </c>
      <c r="E345" s="67" t="s">
        <v>560</v>
      </c>
      <c r="F345" s="67" t="s">
        <v>666</v>
      </c>
      <c r="G345" s="96"/>
      <c r="H345" s="109" t="s">
        <v>669</v>
      </c>
      <c r="I345" s="99" t="e">
        <f t="shared" si="29"/>
        <v>#VALUE!</v>
      </c>
      <c r="J345" s="109"/>
      <c r="K345" s="96" t="e">
        <f t="shared" si="33"/>
        <v>#VALUE!</v>
      </c>
      <c r="L345" s="106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8.75" hidden="1">
      <c r="A346" s="152" t="s">
        <v>671</v>
      </c>
      <c r="B346" s="78">
        <v>805</v>
      </c>
      <c r="C346" s="67" t="s">
        <v>625</v>
      </c>
      <c r="D346" s="67" t="s">
        <v>25</v>
      </c>
      <c r="E346" s="67" t="s">
        <v>560</v>
      </c>
      <c r="F346" s="67" t="s">
        <v>672</v>
      </c>
      <c r="G346" s="96"/>
      <c r="H346" s="104"/>
      <c r="I346" s="99">
        <f t="shared" si="29"/>
        <v>0</v>
      </c>
      <c r="J346" s="104"/>
      <c r="K346" s="96">
        <f t="shared" si="33"/>
        <v>0</v>
      </c>
      <c r="L346" s="106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8" customHeight="1">
      <c r="A347" s="136" t="s">
        <v>582</v>
      </c>
      <c r="B347" s="78">
        <v>805</v>
      </c>
      <c r="C347" s="67" t="s">
        <v>625</v>
      </c>
      <c r="D347" s="67" t="s">
        <v>25</v>
      </c>
      <c r="E347" s="67" t="s">
        <v>562</v>
      </c>
      <c r="F347" s="67"/>
      <c r="G347" s="96">
        <f>SUM(G348,G350)</f>
        <v>60833.5</v>
      </c>
      <c r="H347" s="99">
        <f>SUM(H348,H350)</f>
        <v>2851.3</v>
      </c>
      <c r="I347" s="99">
        <f t="shared" si="29"/>
        <v>63684.8</v>
      </c>
      <c r="J347" s="99">
        <f>SUM(J348,J350)</f>
        <v>4772.2</v>
      </c>
      <c r="K347" s="96">
        <f t="shared" si="33"/>
        <v>68457</v>
      </c>
      <c r="L347" s="106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8" customHeight="1">
      <c r="A348" s="136" t="s">
        <v>593</v>
      </c>
      <c r="B348" s="78">
        <v>805</v>
      </c>
      <c r="C348" s="67" t="s">
        <v>625</v>
      </c>
      <c r="D348" s="67" t="s">
        <v>25</v>
      </c>
      <c r="E348" s="67" t="s">
        <v>596</v>
      </c>
      <c r="F348" s="67"/>
      <c r="G348" s="96">
        <f>SUM(G349)</f>
        <v>1055.2</v>
      </c>
      <c r="H348" s="99">
        <f>SUM(H349)</f>
        <v>0</v>
      </c>
      <c r="I348" s="99">
        <f t="shared" si="29"/>
        <v>1055.2</v>
      </c>
      <c r="J348" s="99">
        <f>SUM(J349)</f>
        <v>0</v>
      </c>
      <c r="K348" s="96">
        <f t="shared" si="33"/>
        <v>1055.2</v>
      </c>
      <c r="L348" s="106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6.5">
      <c r="A349" s="124" t="s">
        <v>63</v>
      </c>
      <c r="B349" s="78">
        <v>805</v>
      </c>
      <c r="C349" s="67" t="s">
        <v>625</v>
      </c>
      <c r="D349" s="67" t="s">
        <v>25</v>
      </c>
      <c r="E349" s="67" t="s">
        <v>596</v>
      </c>
      <c r="F349" s="67" t="s">
        <v>660</v>
      </c>
      <c r="G349" s="96">
        <v>1055.2</v>
      </c>
      <c r="H349" s="104"/>
      <c r="I349" s="99">
        <f t="shared" si="29"/>
        <v>1055.2</v>
      </c>
      <c r="J349" s="104"/>
      <c r="K349" s="96">
        <f t="shared" si="33"/>
        <v>1055.2</v>
      </c>
      <c r="L349" s="106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21" customHeight="1">
      <c r="A350" s="136" t="s">
        <v>480</v>
      </c>
      <c r="B350" s="78">
        <v>805</v>
      </c>
      <c r="C350" s="67" t="s">
        <v>625</v>
      </c>
      <c r="D350" s="67" t="s">
        <v>25</v>
      </c>
      <c r="E350" s="67" t="s">
        <v>563</v>
      </c>
      <c r="F350" s="67"/>
      <c r="G350" s="96">
        <f>SUM(G351)</f>
        <v>59778.3</v>
      </c>
      <c r="H350" s="99">
        <f>SUM(H351)</f>
        <v>2851.3</v>
      </c>
      <c r="I350" s="99">
        <f t="shared" si="29"/>
        <v>62629.600000000006</v>
      </c>
      <c r="J350" s="99">
        <f>SUM(J351)</f>
        <v>4772.2</v>
      </c>
      <c r="K350" s="96">
        <f t="shared" si="33"/>
        <v>67401.8</v>
      </c>
      <c r="L350" s="106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20.25" customHeight="1">
      <c r="A351" s="124" t="s">
        <v>63</v>
      </c>
      <c r="B351" s="78">
        <v>805</v>
      </c>
      <c r="C351" s="67" t="s">
        <v>625</v>
      </c>
      <c r="D351" s="67" t="s">
        <v>25</v>
      </c>
      <c r="E351" s="67" t="s">
        <v>563</v>
      </c>
      <c r="F351" s="67" t="s">
        <v>660</v>
      </c>
      <c r="G351" s="96">
        <v>59778.3</v>
      </c>
      <c r="H351" s="104">
        <f>103.8+2747.5</f>
        <v>2851.3</v>
      </c>
      <c r="I351" s="99">
        <f t="shared" si="29"/>
        <v>62629.600000000006</v>
      </c>
      <c r="J351" s="104">
        <f>4772.2</f>
        <v>4772.2</v>
      </c>
      <c r="K351" s="96">
        <f t="shared" si="33"/>
        <v>67401.8</v>
      </c>
      <c r="L351" s="106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6.5">
      <c r="A352" s="136" t="s">
        <v>583</v>
      </c>
      <c r="B352" s="78">
        <v>805</v>
      </c>
      <c r="C352" s="67" t="s">
        <v>625</v>
      </c>
      <c r="D352" s="67" t="s">
        <v>25</v>
      </c>
      <c r="E352" s="67" t="s">
        <v>564</v>
      </c>
      <c r="F352" s="67"/>
      <c r="G352" s="96">
        <f aca="true" t="shared" si="34" ref="G352:J353">SUM(G353)</f>
        <v>33.6</v>
      </c>
      <c r="H352" s="99">
        <f t="shared" si="34"/>
        <v>3151</v>
      </c>
      <c r="I352" s="99">
        <f t="shared" si="29"/>
        <v>3184.6</v>
      </c>
      <c r="J352" s="99">
        <f t="shared" si="34"/>
        <v>0</v>
      </c>
      <c r="K352" s="96">
        <f t="shared" si="33"/>
        <v>3184.6</v>
      </c>
      <c r="L352" s="106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7.25" customHeight="1">
      <c r="A353" s="136" t="s">
        <v>480</v>
      </c>
      <c r="B353" s="78">
        <v>805</v>
      </c>
      <c r="C353" s="67" t="s">
        <v>625</v>
      </c>
      <c r="D353" s="67" t="s">
        <v>25</v>
      </c>
      <c r="E353" s="67" t="s">
        <v>565</v>
      </c>
      <c r="F353" s="67"/>
      <c r="G353" s="96">
        <f t="shared" si="34"/>
        <v>33.6</v>
      </c>
      <c r="H353" s="99">
        <f t="shared" si="34"/>
        <v>3151</v>
      </c>
      <c r="I353" s="99">
        <f t="shared" si="29"/>
        <v>3184.6</v>
      </c>
      <c r="J353" s="99">
        <f t="shared" si="34"/>
        <v>0</v>
      </c>
      <c r="K353" s="96">
        <f t="shared" si="33"/>
        <v>3184.6</v>
      </c>
      <c r="L353" s="106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6.5">
      <c r="A354" s="124" t="s">
        <v>63</v>
      </c>
      <c r="B354" s="78">
        <v>805</v>
      </c>
      <c r="C354" s="67" t="s">
        <v>625</v>
      </c>
      <c r="D354" s="67" t="s">
        <v>25</v>
      </c>
      <c r="E354" s="67" t="s">
        <v>565</v>
      </c>
      <c r="F354" s="67" t="s">
        <v>660</v>
      </c>
      <c r="G354" s="96">
        <v>33.6</v>
      </c>
      <c r="H354" s="104">
        <f>3151</f>
        <v>3151</v>
      </c>
      <c r="I354" s="99">
        <f t="shared" si="29"/>
        <v>3184.6</v>
      </c>
      <c r="J354" s="104"/>
      <c r="K354" s="96">
        <f t="shared" si="33"/>
        <v>3184.6</v>
      </c>
      <c r="L354" s="106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9.5" customHeight="1">
      <c r="A355" s="136" t="s">
        <v>402</v>
      </c>
      <c r="B355" s="78">
        <v>805</v>
      </c>
      <c r="C355" s="67" t="s">
        <v>625</v>
      </c>
      <c r="D355" s="67" t="s">
        <v>25</v>
      </c>
      <c r="E355" s="67" t="s">
        <v>566</v>
      </c>
      <c r="F355" s="67"/>
      <c r="G355" s="96">
        <f aca="true" t="shared" si="35" ref="G355:J356">SUM(G356)</f>
        <v>33.6</v>
      </c>
      <c r="H355" s="99">
        <f t="shared" si="35"/>
        <v>2493</v>
      </c>
      <c r="I355" s="99">
        <f t="shared" si="29"/>
        <v>2526.6</v>
      </c>
      <c r="J355" s="99">
        <f t="shared" si="35"/>
        <v>0</v>
      </c>
      <c r="K355" s="96">
        <f t="shared" si="33"/>
        <v>2526.6</v>
      </c>
      <c r="L355" s="106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9.5" customHeight="1">
      <c r="A356" s="136" t="s">
        <v>480</v>
      </c>
      <c r="B356" s="78">
        <v>805</v>
      </c>
      <c r="C356" s="67" t="s">
        <v>625</v>
      </c>
      <c r="D356" s="67" t="s">
        <v>25</v>
      </c>
      <c r="E356" s="67" t="s">
        <v>567</v>
      </c>
      <c r="F356" s="67"/>
      <c r="G356" s="96">
        <f t="shared" si="35"/>
        <v>33.6</v>
      </c>
      <c r="H356" s="99">
        <f t="shared" si="35"/>
        <v>2493</v>
      </c>
      <c r="I356" s="99">
        <f t="shared" si="29"/>
        <v>2526.6</v>
      </c>
      <c r="J356" s="99">
        <f t="shared" si="35"/>
        <v>0</v>
      </c>
      <c r="K356" s="96">
        <f t="shared" si="33"/>
        <v>2526.6</v>
      </c>
      <c r="L356" s="106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6.5">
      <c r="A357" s="124" t="s">
        <v>63</v>
      </c>
      <c r="B357" s="78">
        <v>805</v>
      </c>
      <c r="C357" s="67" t="s">
        <v>625</v>
      </c>
      <c r="D357" s="67" t="s">
        <v>25</v>
      </c>
      <c r="E357" s="67" t="s">
        <v>567</v>
      </c>
      <c r="F357" s="67" t="s">
        <v>660</v>
      </c>
      <c r="G357" s="96">
        <v>33.6</v>
      </c>
      <c r="H357" s="104">
        <v>2493</v>
      </c>
      <c r="I357" s="99">
        <f t="shared" si="29"/>
        <v>2526.6</v>
      </c>
      <c r="J357" s="104"/>
      <c r="K357" s="96">
        <f t="shared" si="33"/>
        <v>2526.6</v>
      </c>
      <c r="L357" s="106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6.5">
      <c r="A358" s="124" t="s">
        <v>776</v>
      </c>
      <c r="B358" s="78">
        <v>805</v>
      </c>
      <c r="C358" s="67" t="s">
        <v>625</v>
      </c>
      <c r="D358" s="67" t="s">
        <v>25</v>
      </c>
      <c r="E358" s="67" t="s">
        <v>574</v>
      </c>
      <c r="F358" s="67"/>
      <c r="G358" s="96">
        <f>G359</f>
        <v>67068</v>
      </c>
      <c r="H358" s="99">
        <f>H359</f>
        <v>0</v>
      </c>
      <c r="I358" s="99">
        <f t="shared" si="29"/>
        <v>67068</v>
      </c>
      <c r="J358" s="99">
        <f>J359</f>
        <v>0</v>
      </c>
      <c r="K358" s="96">
        <f t="shared" si="33"/>
        <v>67068</v>
      </c>
      <c r="L358" s="106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33.75" customHeight="1">
      <c r="A359" s="88" t="s">
        <v>181</v>
      </c>
      <c r="B359" s="78">
        <v>805</v>
      </c>
      <c r="C359" s="67" t="s">
        <v>625</v>
      </c>
      <c r="D359" s="67" t="s">
        <v>25</v>
      </c>
      <c r="E359" s="67" t="s">
        <v>573</v>
      </c>
      <c r="F359" s="67"/>
      <c r="G359" s="96">
        <f>G362+G360</f>
        <v>67068</v>
      </c>
      <c r="H359" s="99">
        <f>H362+H360</f>
        <v>0</v>
      </c>
      <c r="I359" s="99">
        <f t="shared" si="29"/>
        <v>67068</v>
      </c>
      <c r="J359" s="99">
        <f>J362+J360</f>
        <v>0</v>
      </c>
      <c r="K359" s="96">
        <f t="shared" si="33"/>
        <v>67068</v>
      </c>
      <c r="L359" s="106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8.75" customHeight="1">
      <c r="A360" s="124" t="s">
        <v>515</v>
      </c>
      <c r="B360" s="78">
        <v>805</v>
      </c>
      <c r="C360" s="67" t="s">
        <v>625</v>
      </c>
      <c r="D360" s="67" t="s">
        <v>25</v>
      </c>
      <c r="E360" s="67" t="s">
        <v>575</v>
      </c>
      <c r="F360" s="67"/>
      <c r="G360" s="96">
        <f>G361</f>
        <v>47937</v>
      </c>
      <c r="H360" s="99">
        <f>H361</f>
        <v>0</v>
      </c>
      <c r="I360" s="99">
        <f t="shared" si="29"/>
        <v>47937</v>
      </c>
      <c r="J360" s="99">
        <f>J361</f>
        <v>0</v>
      </c>
      <c r="K360" s="96">
        <f t="shared" si="33"/>
        <v>47937</v>
      </c>
      <c r="L360" s="106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8.75" customHeight="1">
      <c r="A361" s="124" t="s">
        <v>63</v>
      </c>
      <c r="B361" s="78">
        <v>805</v>
      </c>
      <c r="C361" s="67" t="s">
        <v>625</v>
      </c>
      <c r="D361" s="67" t="s">
        <v>25</v>
      </c>
      <c r="E361" s="67" t="s">
        <v>575</v>
      </c>
      <c r="F361" s="67" t="s">
        <v>660</v>
      </c>
      <c r="G361" s="96">
        <v>47937</v>
      </c>
      <c r="H361" s="104"/>
      <c r="I361" s="99">
        <f t="shared" si="29"/>
        <v>47937</v>
      </c>
      <c r="J361" s="104"/>
      <c r="K361" s="96">
        <f t="shared" si="33"/>
        <v>47937</v>
      </c>
      <c r="L361" s="106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33">
      <c r="A362" s="124" t="s">
        <v>693</v>
      </c>
      <c r="B362" s="78">
        <v>805</v>
      </c>
      <c r="C362" s="67" t="s">
        <v>625</v>
      </c>
      <c r="D362" s="67" t="s">
        <v>25</v>
      </c>
      <c r="E362" s="67" t="s">
        <v>572</v>
      </c>
      <c r="F362" s="67"/>
      <c r="G362" s="96">
        <f>G363</f>
        <v>19131</v>
      </c>
      <c r="H362" s="99">
        <f>H363</f>
        <v>0</v>
      </c>
      <c r="I362" s="99">
        <f t="shared" si="29"/>
        <v>19131</v>
      </c>
      <c r="J362" s="99">
        <f>J363</f>
        <v>0</v>
      </c>
      <c r="K362" s="96">
        <f t="shared" si="33"/>
        <v>19131</v>
      </c>
      <c r="L362" s="106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6.5">
      <c r="A363" s="124" t="s">
        <v>63</v>
      </c>
      <c r="B363" s="78">
        <v>805</v>
      </c>
      <c r="C363" s="67" t="s">
        <v>625</v>
      </c>
      <c r="D363" s="67" t="s">
        <v>25</v>
      </c>
      <c r="E363" s="67" t="s">
        <v>572</v>
      </c>
      <c r="F363" s="67" t="s">
        <v>660</v>
      </c>
      <c r="G363" s="96">
        <v>19131</v>
      </c>
      <c r="H363" s="104"/>
      <c r="I363" s="99">
        <f t="shared" si="29"/>
        <v>19131</v>
      </c>
      <c r="J363" s="104"/>
      <c r="K363" s="96">
        <f t="shared" si="33"/>
        <v>19131</v>
      </c>
      <c r="L363" s="106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6.5">
      <c r="A364" s="135" t="s">
        <v>192</v>
      </c>
      <c r="B364" s="78">
        <v>805</v>
      </c>
      <c r="C364" s="67" t="s">
        <v>625</v>
      </c>
      <c r="D364" s="67" t="s">
        <v>25</v>
      </c>
      <c r="E364" s="67" t="s">
        <v>561</v>
      </c>
      <c r="F364" s="67"/>
      <c r="G364" s="96"/>
      <c r="H364" s="104"/>
      <c r="I364" s="99"/>
      <c r="J364" s="104">
        <f>J365</f>
        <v>23077.8</v>
      </c>
      <c r="K364" s="96">
        <f t="shared" si="33"/>
        <v>23077.8</v>
      </c>
      <c r="L364" s="106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33">
      <c r="A365" s="132" t="s">
        <v>182</v>
      </c>
      <c r="B365" s="78">
        <v>805</v>
      </c>
      <c r="C365" s="67" t="s">
        <v>625</v>
      </c>
      <c r="D365" s="67" t="s">
        <v>25</v>
      </c>
      <c r="E365" s="67" t="s">
        <v>681</v>
      </c>
      <c r="F365" s="67"/>
      <c r="G365" s="96"/>
      <c r="H365" s="104"/>
      <c r="I365" s="99"/>
      <c r="J365" s="104">
        <f>J366</f>
        <v>23077.8</v>
      </c>
      <c r="K365" s="96">
        <f t="shared" si="33"/>
        <v>23077.8</v>
      </c>
      <c r="L365" s="106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6.5">
      <c r="A366" s="124" t="s">
        <v>682</v>
      </c>
      <c r="B366" s="78">
        <v>805</v>
      </c>
      <c r="C366" s="67" t="s">
        <v>625</v>
      </c>
      <c r="D366" s="67" t="s">
        <v>25</v>
      </c>
      <c r="E366" s="67" t="s">
        <v>681</v>
      </c>
      <c r="F366" s="67" t="s">
        <v>660</v>
      </c>
      <c r="G366" s="96"/>
      <c r="H366" s="104"/>
      <c r="I366" s="99"/>
      <c r="J366" s="104">
        <v>23077.8</v>
      </c>
      <c r="K366" s="96">
        <f t="shared" si="33"/>
        <v>23077.8</v>
      </c>
      <c r="L366" s="106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24.75" customHeight="1">
      <c r="A367" s="124" t="s">
        <v>683</v>
      </c>
      <c r="B367" s="78">
        <v>805</v>
      </c>
      <c r="C367" s="67" t="s">
        <v>625</v>
      </c>
      <c r="D367" s="67" t="s">
        <v>25</v>
      </c>
      <c r="E367" s="67" t="s">
        <v>80</v>
      </c>
      <c r="F367" s="67"/>
      <c r="G367" s="96">
        <f>G368</f>
        <v>194621.7</v>
      </c>
      <c r="H367" s="99">
        <f>H368</f>
        <v>0</v>
      </c>
      <c r="I367" s="99">
        <f t="shared" si="29"/>
        <v>194621.7</v>
      </c>
      <c r="J367" s="99">
        <f>J368</f>
        <v>-356.4</v>
      </c>
      <c r="K367" s="96">
        <f t="shared" si="33"/>
        <v>194265.30000000002</v>
      </c>
      <c r="L367" s="106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32.25" customHeight="1">
      <c r="A368" s="124" t="s">
        <v>767</v>
      </c>
      <c r="B368" s="78">
        <v>805</v>
      </c>
      <c r="C368" s="67" t="s">
        <v>625</v>
      </c>
      <c r="D368" s="67" t="s">
        <v>25</v>
      </c>
      <c r="E368" s="67" t="s">
        <v>83</v>
      </c>
      <c r="F368" s="67"/>
      <c r="G368" s="96">
        <f>G369+G373+G371</f>
        <v>194621.7</v>
      </c>
      <c r="H368" s="99">
        <f>H369+H373+H371</f>
        <v>0</v>
      </c>
      <c r="I368" s="99">
        <f t="shared" si="29"/>
        <v>194621.7</v>
      </c>
      <c r="J368" s="99">
        <f>J369+J373+J371</f>
        <v>-356.4</v>
      </c>
      <c r="K368" s="96">
        <f t="shared" si="33"/>
        <v>194265.30000000002</v>
      </c>
      <c r="L368" s="106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35.75" customHeight="1">
      <c r="A369" s="123" t="s">
        <v>769</v>
      </c>
      <c r="B369" s="78">
        <v>805</v>
      </c>
      <c r="C369" s="67" t="s">
        <v>625</v>
      </c>
      <c r="D369" s="67" t="s">
        <v>25</v>
      </c>
      <c r="E369" s="67" t="s">
        <v>87</v>
      </c>
      <c r="F369" s="67"/>
      <c r="G369" s="96">
        <f>G370</f>
        <v>123855.7</v>
      </c>
      <c r="H369" s="99">
        <f>H370</f>
        <v>0</v>
      </c>
      <c r="I369" s="99">
        <f t="shared" si="29"/>
        <v>123855.7</v>
      </c>
      <c r="J369" s="99">
        <f>J370</f>
        <v>0</v>
      </c>
      <c r="K369" s="96">
        <f t="shared" si="33"/>
        <v>123855.7</v>
      </c>
      <c r="L369" s="106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21" customHeight="1">
      <c r="A370" s="124" t="s">
        <v>63</v>
      </c>
      <c r="B370" s="78">
        <v>805</v>
      </c>
      <c r="C370" s="67" t="s">
        <v>625</v>
      </c>
      <c r="D370" s="67" t="s">
        <v>25</v>
      </c>
      <c r="E370" s="67" t="s">
        <v>87</v>
      </c>
      <c r="F370" s="67" t="s">
        <v>660</v>
      </c>
      <c r="G370" s="96">
        <v>123855.7</v>
      </c>
      <c r="H370" s="104"/>
      <c r="I370" s="99">
        <f t="shared" si="29"/>
        <v>123855.7</v>
      </c>
      <c r="J370" s="104"/>
      <c r="K370" s="96">
        <f t="shared" si="33"/>
        <v>123855.7</v>
      </c>
      <c r="L370" s="106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03.5" customHeight="1">
      <c r="A371" s="119" t="s">
        <v>184</v>
      </c>
      <c r="B371" s="78">
        <v>805</v>
      </c>
      <c r="C371" s="67" t="s">
        <v>625</v>
      </c>
      <c r="D371" s="67" t="s">
        <v>25</v>
      </c>
      <c r="E371" s="67" t="s">
        <v>578</v>
      </c>
      <c r="F371" s="67"/>
      <c r="G371" s="96">
        <f>G372</f>
        <v>70409.6</v>
      </c>
      <c r="H371" s="99">
        <f>H372</f>
        <v>0</v>
      </c>
      <c r="I371" s="99">
        <f t="shared" si="29"/>
        <v>70409.6</v>
      </c>
      <c r="J371" s="99">
        <f>J372</f>
        <v>0</v>
      </c>
      <c r="K371" s="96">
        <f t="shared" si="33"/>
        <v>70409.6</v>
      </c>
      <c r="L371" s="106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21" customHeight="1">
      <c r="A372" s="124" t="s">
        <v>63</v>
      </c>
      <c r="B372" s="78">
        <v>805</v>
      </c>
      <c r="C372" s="67" t="s">
        <v>625</v>
      </c>
      <c r="D372" s="67" t="s">
        <v>25</v>
      </c>
      <c r="E372" s="67" t="s">
        <v>578</v>
      </c>
      <c r="F372" s="67" t="s">
        <v>660</v>
      </c>
      <c r="G372" s="96">
        <v>70409.6</v>
      </c>
      <c r="H372" s="104"/>
      <c r="I372" s="99">
        <f t="shared" si="29"/>
        <v>70409.6</v>
      </c>
      <c r="J372" s="104"/>
      <c r="K372" s="96">
        <f t="shared" si="33"/>
        <v>70409.6</v>
      </c>
      <c r="L372" s="106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54" customHeight="1" hidden="1">
      <c r="A373" s="139" t="s">
        <v>185</v>
      </c>
      <c r="B373" s="78">
        <v>805</v>
      </c>
      <c r="C373" s="67" t="s">
        <v>625</v>
      </c>
      <c r="D373" s="67" t="s">
        <v>25</v>
      </c>
      <c r="E373" s="67" t="s">
        <v>571</v>
      </c>
      <c r="F373" s="67"/>
      <c r="G373" s="96">
        <f>G374</f>
        <v>356.4</v>
      </c>
      <c r="H373" s="99">
        <f>H374</f>
        <v>0</v>
      </c>
      <c r="I373" s="99">
        <f t="shared" si="29"/>
        <v>356.4</v>
      </c>
      <c r="J373" s="99">
        <f>J374</f>
        <v>-356.4</v>
      </c>
      <c r="K373" s="96">
        <f t="shared" si="33"/>
        <v>0</v>
      </c>
      <c r="L373" s="106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21" customHeight="1" hidden="1">
      <c r="A374" s="124" t="s">
        <v>63</v>
      </c>
      <c r="B374" s="78">
        <v>805</v>
      </c>
      <c r="C374" s="67" t="s">
        <v>625</v>
      </c>
      <c r="D374" s="67" t="s">
        <v>25</v>
      </c>
      <c r="E374" s="67" t="s">
        <v>571</v>
      </c>
      <c r="F374" s="67" t="s">
        <v>660</v>
      </c>
      <c r="G374" s="96">
        <v>356.4</v>
      </c>
      <c r="H374" s="104"/>
      <c r="I374" s="99">
        <f aca="true" t="shared" si="36" ref="I374:I405">H374+G374</f>
        <v>356.4</v>
      </c>
      <c r="J374" s="104">
        <v>-356.4</v>
      </c>
      <c r="K374" s="96">
        <f t="shared" si="33"/>
        <v>0</v>
      </c>
      <c r="L374" s="106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8.75" customHeight="1" hidden="1">
      <c r="A375" s="124" t="s">
        <v>91</v>
      </c>
      <c r="B375" s="78">
        <v>805</v>
      </c>
      <c r="C375" s="67" t="s">
        <v>625</v>
      </c>
      <c r="D375" s="67" t="s">
        <v>26</v>
      </c>
      <c r="E375" s="67"/>
      <c r="F375" s="67"/>
      <c r="G375" s="96">
        <f>G376</f>
        <v>0</v>
      </c>
      <c r="H375" s="104"/>
      <c r="I375" s="99">
        <f t="shared" si="36"/>
        <v>0</v>
      </c>
      <c r="J375" s="104"/>
      <c r="K375" s="96">
        <f t="shared" si="33"/>
        <v>0</v>
      </c>
      <c r="L375" s="106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8.75" customHeight="1" hidden="1">
      <c r="A376" s="124" t="s">
        <v>92</v>
      </c>
      <c r="B376" s="78">
        <v>805</v>
      </c>
      <c r="C376" s="67" t="s">
        <v>625</v>
      </c>
      <c r="D376" s="67" t="s">
        <v>26</v>
      </c>
      <c r="E376" s="67" t="s">
        <v>89</v>
      </c>
      <c r="F376" s="67"/>
      <c r="G376" s="96">
        <f>G377</f>
        <v>0</v>
      </c>
      <c r="H376" s="104"/>
      <c r="I376" s="99">
        <f t="shared" si="36"/>
        <v>0</v>
      </c>
      <c r="J376" s="104"/>
      <c r="K376" s="96">
        <f t="shared" si="33"/>
        <v>0</v>
      </c>
      <c r="L376" s="106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8.75" customHeight="1" hidden="1">
      <c r="A377" s="136" t="s">
        <v>480</v>
      </c>
      <c r="B377" s="78">
        <v>805</v>
      </c>
      <c r="C377" s="67" t="s">
        <v>625</v>
      </c>
      <c r="D377" s="67" t="s">
        <v>26</v>
      </c>
      <c r="E377" s="67" t="s">
        <v>90</v>
      </c>
      <c r="F377" s="67"/>
      <c r="G377" s="96">
        <f>G378</f>
        <v>0</v>
      </c>
      <c r="H377" s="104"/>
      <c r="I377" s="99">
        <f t="shared" si="36"/>
        <v>0</v>
      </c>
      <c r="J377" s="104"/>
      <c r="K377" s="96">
        <f t="shared" si="33"/>
        <v>0</v>
      </c>
      <c r="L377" s="106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8.75" customHeight="1" hidden="1">
      <c r="A378" s="124" t="s">
        <v>63</v>
      </c>
      <c r="B378" s="78">
        <v>805</v>
      </c>
      <c r="C378" s="67" t="s">
        <v>625</v>
      </c>
      <c r="D378" s="67" t="s">
        <v>26</v>
      </c>
      <c r="E378" s="67" t="s">
        <v>90</v>
      </c>
      <c r="F378" s="67" t="s">
        <v>660</v>
      </c>
      <c r="G378" s="96"/>
      <c r="H378" s="104"/>
      <c r="I378" s="99">
        <f t="shared" si="36"/>
        <v>0</v>
      </c>
      <c r="J378" s="104"/>
      <c r="K378" s="96">
        <f t="shared" si="33"/>
        <v>0</v>
      </c>
      <c r="L378" s="106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8" customHeight="1" hidden="1">
      <c r="A379" s="136" t="s">
        <v>661</v>
      </c>
      <c r="B379" s="67" t="s">
        <v>64</v>
      </c>
      <c r="C379" s="67" t="s">
        <v>625</v>
      </c>
      <c r="D379" s="67" t="s">
        <v>108</v>
      </c>
      <c r="E379" s="67"/>
      <c r="F379" s="67"/>
      <c r="G379" s="96">
        <f>SUM(G380,)</f>
        <v>0</v>
      </c>
      <c r="H379" s="104"/>
      <c r="I379" s="99">
        <f t="shared" si="36"/>
        <v>0</v>
      </c>
      <c r="J379" s="104"/>
      <c r="K379" s="96">
        <f t="shared" si="33"/>
        <v>0</v>
      </c>
      <c r="L379" s="106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8.75" customHeight="1" hidden="1">
      <c r="A380" s="146" t="s">
        <v>644</v>
      </c>
      <c r="B380" s="78">
        <v>805</v>
      </c>
      <c r="C380" s="67" t="s">
        <v>625</v>
      </c>
      <c r="D380" s="67" t="s">
        <v>108</v>
      </c>
      <c r="E380" s="67" t="s">
        <v>643</v>
      </c>
      <c r="F380" s="67"/>
      <c r="G380" s="96">
        <f>SUM(G381,G383)</f>
        <v>0</v>
      </c>
      <c r="H380" s="104"/>
      <c r="I380" s="99">
        <f t="shared" si="36"/>
        <v>0</v>
      </c>
      <c r="J380" s="104"/>
      <c r="K380" s="96">
        <f t="shared" si="33"/>
        <v>0</v>
      </c>
      <c r="L380" s="106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20.25" customHeight="1" hidden="1">
      <c r="A381" s="136" t="s">
        <v>593</v>
      </c>
      <c r="B381" s="78">
        <v>805</v>
      </c>
      <c r="C381" s="67" t="s">
        <v>625</v>
      </c>
      <c r="D381" s="67" t="s">
        <v>108</v>
      </c>
      <c r="E381" s="67" t="s">
        <v>646</v>
      </c>
      <c r="F381" s="67"/>
      <c r="G381" s="96">
        <f>SUM(G382)</f>
        <v>0</v>
      </c>
      <c r="H381" s="104"/>
      <c r="I381" s="99">
        <f t="shared" si="36"/>
        <v>0</v>
      </c>
      <c r="J381" s="104"/>
      <c r="K381" s="96">
        <f t="shared" si="33"/>
        <v>0</v>
      </c>
      <c r="L381" s="106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8" customHeight="1" hidden="1">
      <c r="A382" s="124" t="s">
        <v>63</v>
      </c>
      <c r="B382" s="78">
        <v>805</v>
      </c>
      <c r="C382" s="67" t="s">
        <v>625</v>
      </c>
      <c r="D382" s="67" t="s">
        <v>108</v>
      </c>
      <c r="E382" s="67" t="s">
        <v>646</v>
      </c>
      <c r="F382" s="67" t="s">
        <v>660</v>
      </c>
      <c r="G382" s="96"/>
      <c r="H382" s="104"/>
      <c r="I382" s="99">
        <f t="shared" si="36"/>
        <v>0</v>
      </c>
      <c r="J382" s="104"/>
      <c r="K382" s="96">
        <f t="shared" si="33"/>
        <v>0</v>
      </c>
      <c r="L382" s="106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9.5" customHeight="1" hidden="1">
      <c r="A383" s="136" t="s">
        <v>480</v>
      </c>
      <c r="B383" s="78">
        <v>805</v>
      </c>
      <c r="C383" s="67" t="s">
        <v>625</v>
      </c>
      <c r="D383" s="67" t="s">
        <v>108</v>
      </c>
      <c r="E383" s="67" t="s">
        <v>645</v>
      </c>
      <c r="F383" s="67"/>
      <c r="G383" s="96">
        <f>SUM(G384)</f>
        <v>0</v>
      </c>
      <c r="H383" s="104"/>
      <c r="I383" s="99">
        <f t="shared" si="36"/>
        <v>0</v>
      </c>
      <c r="J383" s="104"/>
      <c r="K383" s="96">
        <f t="shared" si="33"/>
        <v>0</v>
      </c>
      <c r="L383" s="106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8" customHeight="1" hidden="1">
      <c r="A384" s="124" t="s">
        <v>63</v>
      </c>
      <c r="B384" s="78">
        <v>805</v>
      </c>
      <c r="C384" s="67" t="s">
        <v>625</v>
      </c>
      <c r="D384" s="67" t="s">
        <v>108</v>
      </c>
      <c r="E384" s="67" t="s">
        <v>645</v>
      </c>
      <c r="F384" s="67" t="s">
        <v>660</v>
      </c>
      <c r="G384" s="96"/>
      <c r="H384" s="104"/>
      <c r="I384" s="99">
        <f t="shared" si="36"/>
        <v>0</v>
      </c>
      <c r="J384" s="104"/>
      <c r="K384" s="96">
        <f t="shared" si="33"/>
        <v>0</v>
      </c>
      <c r="L384" s="106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20.25" customHeight="1">
      <c r="A385" s="136" t="s">
        <v>307</v>
      </c>
      <c r="B385" s="78">
        <v>805</v>
      </c>
      <c r="C385" s="67" t="s">
        <v>625</v>
      </c>
      <c r="D385" s="67" t="s">
        <v>625</v>
      </c>
      <c r="E385" s="67"/>
      <c r="F385" s="67"/>
      <c r="G385" s="96">
        <f>G386+G388+G392</f>
        <v>6391.3</v>
      </c>
      <c r="H385" s="96">
        <f>H386+H388+H392</f>
        <v>3739.1</v>
      </c>
      <c r="I385" s="99">
        <f t="shared" si="36"/>
        <v>10130.4</v>
      </c>
      <c r="J385" s="96">
        <f>J386+J388+J392</f>
        <v>-1142.2</v>
      </c>
      <c r="K385" s="96">
        <f t="shared" si="33"/>
        <v>8988.199999999999</v>
      </c>
      <c r="L385" s="106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8" customHeight="1" hidden="1">
      <c r="A386" s="124" t="s">
        <v>286</v>
      </c>
      <c r="B386" s="78">
        <v>805</v>
      </c>
      <c r="C386" s="67" t="s">
        <v>625</v>
      </c>
      <c r="D386" s="67" t="s">
        <v>625</v>
      </c>
      <c r="E386" s="67" t="s">
        <v>591</v>
      </c>
      <c r="F386" s="67"/>
      <c r="G386" s="96">
        <f>G387</f>
        <v>0</v>
      </c>
      <c r="H386" s="99">
        <f>H387</f>
        <v>0</v>
      </c>
      <c r="I386" s="99">
        <f t="shared" si="36"/>
        <v>0</v>
      </c>
      <c r="J386" s="99">
        <f>J387</f>
        <v>0</v>
      </c>
      <c r="K386" s="96">
        <f t="shared" si="33"/>
        <v>0</v>
      </c>
      <c r="L386" s="106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7.25" customHeight="1" hidden="1">
      <c r="A387" s="136" t="s">
        <v>653</v>
      </c>
      <c r="B387" s="78">
        <v>805</v>
      </c>
      <c r="C387" s="67" t="s">
        <v>625</v>
      </c>
      <c r="D387" s="67" t="s">
        <v>625</v>
      </c>
      <c r="E387" s="67" t="s">
        <v>633</v>
      </c>
      <c r="F387" s="67" t="s">
        <v>652</v>
      </c>
      <c r="G387" s="96"/>
      <c r="H387" s="99"/>
      <c r="I387" s="99">
        <f t="shared" si="36"/>
        <v>0</v>
      </c>
      <c r="J387" s="99"/>
      <c r="K387" s="96">
        <f t="shared" si="33"/>
        <v>0</v>
      </c>
      <c r="L387" s="106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9.5" customHeight="1">
      <c r="A388" s="124" t="s">
        <v>718</v>
      </c>
      <c r="B388" s="78">
        <v>805</v>
      </c>
      <c r="C388" s="67" t="s">
        <v>625</v>
      </c>
      <c r="D388" s="67" t="s">
        <v>625</v>
      </c>
      <c r="E388" s="67" t="s">
        <v>80</v>
      </c>
      <c r="F388" s="67"/>
      <c r="G388" s="96">
        <f aca="true" t="shared" si="37" ref="G388:J390">G389</f>
        <v>6391.3</v>
      </c>
      <c r="H388" s="99">
        <f t="shared" si="37"/>
        <v>0</v>
      </c>
      <c r="I388" s="99">
        <f t="shared" si="36"/>
        <v>6391.3</v>
      </c>
      <c r="J388" s="99">
        <f t="shared" si="37"/>
        <v>0</v>
      </c>
      <c r="K388" s="96">
        <f t="shared" si="33"/>
        <v>6391.3</v>
      </c>
      <c r="L388" s="106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33" customHeight="1">
      <c r="A389" s="124" t="s">
        <v>767</v>
      </c>
      <c r="B389" s="78">
        <v>805</v>
      </c>
      <c r="C389" s="67" t="s">
        <v>625</v>
      </c>
      <c r="D389" s="67" t="s">
        <v>625</v>
      </c>
      <c r="E389" s="67" t="s">
        <v>83</v>
      </c>
      <c r="F389" s="67"/>
      <c r="G389" s="96">
        <f t="shared" si="37"/>
        <v>6391.3</v>
      </c>
      <c r="H389" s="99">
        <f t="shared" si="37"/>
        <v>0</v>
      </c>
      <c r="I389" s="99">
        <f t="shared" si="36"/>
        <v>6391.3</v>
      </c>
      <c r="J389" s="99">
        <f t="shared" si="37"/>
        <v>0</v>
      </c>
      <c r="K389" s="96">
        <f t="shared" si="33"/>
        <v>6391.3</v>
      </c>
      <c r="L389" s="106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20.75" customHeight="1">
      <c r="A390" s="123" t="s">
        <v>771</v>
      </c>
      <c r="B390" s="78">
        <v>805</v>
      </c>
      <c r="C390" s="67" t="s">
        <v>625</v>
      </c>
      <c r="D390" s="67" t="s">
        <v>625</v>
      </c>
      <c r="E390" s="67" t="s">
        <v>87</v>
      </c>
      <c r="F390" s="67"/>
      <c r="G390" s="96">
        <f t="shared" si="37"/>
        <v>6391.3</v>
      </c>
      <c r="H390" s="99">
        <f t="shared" si="37"/>
        <v>0</v>
      </c>
      <c r="I390" s="99">
        <f t="shared" si="36"/>
        <v>6391.3</v>
      </c>
      <c r="J390" s="99">
        <f t="shared" si="37"/>
        <v>0</v>
      </c>
      <c r="K390" s="96">
        <f t="shared" si="33"/>
        <v>6391.3</v>
      </c>
      <c r="L390" s="106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9.5" customHeight="1">
      <c r="A391" s="126" t="s">
        <v>711</v>
      </c>
      <c r="B391" s="78">
        <v>805</v>
      </c>
      <c r="C391" s="67" t="s">
        <v>625</v>
      </c>
      <c r="D391" s="67" t="s">
        <v>625</v>
      </c>
      <c r="E391" s="67" t="s">
        <v>87</v>
      </c>
      <c r="F391" s="67" t="s">
        <v>275</v>
      </c>
      <c r="G391" s="96">
        <v>6391.3</v>
      </c>
      <c r="H391" s="104"/>
      <c r="I391" s="99">
        <f t="shared" si="36"/>
        <v>6391.3</v>
      </c>
      <c r="J391" s="104"/>
      <c r="K391" s="96">
        <f t="shared" si="33"/>
        <v>6391.3</v>
      </c>
      <c r="L391" s="106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26.75" customHeight="1">
      <c r="A392" s="136" t="s">
        <v>759</v>
      </c>
      <c r="B392" s="78">
        <v>805</v>
      </c>
      <c r="C392" s="67" t="s">
        <v>625</v>
      </c>
      <c r="D392" s="67" t="s">
        <v>625</v>
      </c>
      <c r="E392" s="67" t="s">
        <v>78</v>
      </c>
      <c r="F392" s="67"/>
      <c r="G392" s="157">
        <f>G393</f>
        <v>0</v>
      </c>
      <c r="H392" s="104">
        <f>H393</f>
        <v>3739.1</v>
      </c>
      <c r="I392" s="99">
        <f t="shared" si="36"/>
        <v>3739.1</v>
      </c>
      <c r="J392" s="104">
        <f>J393</f>
        <v>-1142.2</v>
      </c>
      <c r="K392" s="96">
        <f t="shared" si="33"/>
        <v>2596.8999999999996</v>
      </c>
      <c r="L392" s="106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9.5" customHeight="1">
      <c r="A393" s="126" t="s">
        <v>711</v>
      </c>
      <c r="B393" s="78">
        <v>805</v>
      </c>
      <c r="C393" s="67" t="s">
        <v>625</v>
      </c>
      <c r="D393" s="67" t="s">
        <v>625</v>
      </c>
      <c r="E393" s="67" t="s">
        <v>78</v>
      </c>
      <c r="F393" s="67" t="s">
        <v>275</v>
      </c>
      <c r="G393" s="96"/>
      <c r="H393" s="104">
        <v>3739.1</v>
      </c>
      <c r="I393" s="99">
        <f t="shared" si="36"/>
        <v>3739.1</v>
      </c>
      <c r="J393" s="104">
        <v>-1142.2</v>
      </c>
      <c r="K393" s="96">
        <f t="shared" si="33"/>
        <v>2596.8999999999996</v>
      </c>
      <c r="L393" s="106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8" customHeight="1">
      <c r="A394" s="136" t="s">
        <v>781</v>
      </c>
      <c r="B394" s="78">
        <v>805</v>
      </c>
      <c r="C394" s="67" t="s">
        <v>625</v>
      </c>
      <c r="D394" s="67" t="s">
        <v>106</v>
      </c>
      <c r="E394" s="67"/>
      <c r="F394" s="67"/>
      <c r="G394" s="157">
        <f>SUM(G395,G398,G403,G420,G417)</f>
        <v>75675.1</v>
      </c>
      <c r="H394" s="158">
        <f>SUM(H395,H398,H403,H420,H417)</f>
        <v>75</v>
      </c>
      <c r="I394" s="158">
        <f t="shared" si="36"/>
        <v>75750.1</v>
      </c>
      <c r="J394" s="158">
        <f>SUM(J395,J398,J403,J420,J417)</f>
        <v>4221.6</v>
      </c>
      <c r="K394" s="96">
        <f t="shared" si="33"/>
        <v>79971.70000000001</v>
      </c>
      <c r="L394" s="106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54.75" customHeight="1">
      <c r="A395" s="124" t="s">
        <v>93</v>
      </c>
      <c r="B395" s="78">
        <v>805</v>
      </c>
      <c r="C395" s="67" t="s">
        <v>625</v>
      </c>
      <c r="D395" s="67" t="s">
        <v>106</v>
      </c>
      <c r="E395" s="67" t="s">
        <v>94</v>
      </c>
      <c r="F395" s="67"/>
      <c r="G395" s="96">
        <f aca="true" t="shared" si="38" ref="G395:J396">SUM(G396)</f>
        <v>12645</v>
      </c>
      <c r="H395" s="99">
        <f t="shared" si="38"/>
        <v>17.2</v>
      </c>
      <c r="I395" s="99">
        <f t="shared" si="36"/>
        <v>12662.2</v>
      </c>
      <c r="J395" s="99">
        <f t="shared" si="38"/>
        <v>489.2</v>
      </c>
      <c r="K395" s="96">
        <f t="shared" si="33"/>
        <v>13151.400000000001</v>
      </c>
      <c r="L395" s="106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8.75" customHeight="1">
      <c r="A396" s="124" t="s">
        <v>673</v>
      </c>
      <c r="B396" s="78">
        <v>805</v>
      </c>
      <c r="C396" s="67" t="s">
        <v>625</v>
      </c>
      <c r="D396" s="67" t="s">
        <v>222</v>
      </c>
      <c r="E396" s="67" t="s">
        <v>96</v>
      </c>
      <c r="F396" s="67"/>
      <c r="G396" s="96">
        <f t="shared" si="38"/>
        <v>12645</v>
      </c>
      <c r="H396" s="99">
        <f t="shared" si="38"/>
        <v>17.2</v>
      </c>
      <c r="I396" s="99">
        <f t="shared" si="36"/>
        <v>12662.2</v>
      </c>
      <c r="J396" s="99">
        <f t="shared" si="38"/>
        <v>489.2</v>
      </c>
      <c r="K396" s="96">
        <f t="shared" si="33"/>
        <v>13151.400000000001</v>
      </c>
      <c r="L396" s="106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8.75" customHeight="1">
      <c r="A397" s="120" t="s">
        <v>438</v>
      </c>
      <c r="B397" s="78">
        <v>805</v>
      </c>
      <c r="C397" s="67" t="s">
        <v>625</v>
      </c>
      <c r="D397" s="67" t="s">
        <v>106</v>
      </c>
      <c r="E397" s="67" t="s">
        <v>96</v>
      </c>
      <c r="F397" s="67" t="s">
        <v>277</v>
      </c>
      <c r="G397" s="96">
        <f>12329.8+315.2</f>
        <v>12645</v>
      </c>
      <c r="H397" s="104">
        <v>17.2</v>
      </c>
      <c r="I397" s="99">
        <f t="shared" si="36"/>
        <v>12662.2</v>
      </c>
      <c r="J397" s="104">
        <f>1000-510.8</f>
        <v>489.2</v>
      </c>
      <c r="K397" s="96">
        <f t="shared" si="33"/>
        <v>13151.400000000001</v>
      </c>
      <c r="L397" s="106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52.5" customHeight="1">
      <c r="A398" s="124" t="s">
        <v>783</v>
      </c>
      <c r="B398" s="78">
        <v>805</v>
      </c>
      <c r="C398" s="67" t="s">
        <v>625</v>
      </c>
      <c r="D398" s="67" t="s">
        <v>106</v>
      </c>
      <c r="E398" s="67" t="s">
        <v>648</v>
      </c>
      <c r="F398" s="67"/>
      <c r="G398" s="96">
        <f>SUM(G399,G401)</f>
        <v>47975.9</v>
      </c>
      <c r="H398" s="99">
        <f>SUM(H399,H401)</f>
        <v>57.8</v>
      </c>
      <c r="I398" s="99">
        <f t="shared" si="36"/>
        <v>48033.700000000004</v>
      </c>
      <c r="J398" s="99">
        <f>SUM(J399,J401)</f>
        <v>3729.4</v>
      </c>
      <c r="K398" s="96">
        <f t="shared" si="33"/>
        <v>51763.100000000006</v>
      </c>
      <c r="L398" s="106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8.75" customHeight="1">
      <c r="A399" s="136" t="s">
        <v>677</v>
      </c>
      <c r="B399" s="78">
        <v>805</v>
      </c>
      <c r="C399" s="67" t="s">
        <v>625</v>
      </c>
      <c r="D399" s="67" t="s">
        <v>106</v>
      </c>
      <c r="E399" s="67" t="s">
        <v>597</v>
      </c>
      <c r="F399" s="67"/>
      <c r="G399" s="96">
        <f>SUM(G400)</f>
        <v>469.3</v>
      </c>
      <c r="H399" s="99">
        <f>SUM(H400)</f>
        <v>0</v>
      </c>
      <c r="I399" s="99">
        <f t="shared" si="36"/>
        <v>469.3</v>
      </c>
      <c r="J399" s="99">
        <f>SUM(J400)</f>
        <v>0</v>
      </c>
      <c r="K399" s="96">
        <f t="shared" si="33"/>
        <v>469.3</v>
      </c>
      <c r="L399" s="106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6.5">
      <c r="A400" s="124" t="s">
        <v>63</v>
      </c>
      <c r="B400" s="78">
        <v>805</v>
      </c>
      <c r="C400" s="67" t="s">
        <v>625</v>
      </c>
      <c r="D400" s="67" t="s">
        <v>106</v>
      </c>
      <c r="E400" s="67" t="s">
        <v>597</v>
      </c>
      <c r="F400" s="67" t="s">
        <v>660</v>
      </c>
      <c r="G400" s="96">
        <v>469.3</v>
      </c>
      <c r="H400" s="104"/>
      <c r="I400" s="99">
        <f t="shared" si="36"/>
        <v>469.3</v>
      </c>
      <c r="J400" s="104"/>
      <c r="K400" s="96">
        <f t="shared" si="33"/>
        <v>469.3</v>
      </c>
      <c r="L400" s="106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9.5" customHeight="1">
      <c r="A401" s="136" t="s">
        <v>655</v>
      </c>
      <c r="B401" s="78">
        <v>805</v>
      </c>
      <c r="C401" s="67" t="s">
        <v>625</v>
      </c>
      <c r="D401" s="67" t="s">
        <v>106</v>
      </c>
      <c r="E401" s="67" t="s">
        <v>649</v>
      </c>
      <c r="F401" s="67"/>
      <c r="G401" s="96">
        <f>SUM(G402)</f>
        <v>47506.6</v>
      </c>
      <c r="H401" s="99">
        <f>SUM(H402)</f>
        <v>57.8</v>
      </c>
      <c r="I401" s="99">
        <f t="shared" si="36"/>
        <v>47564.4</v>
      </c>
      <c r="J401" s="99">
        <f>SUM(J402)</f>
        <v>3729.4</v>
      </c>
      <c r="K401" s="96">
        <f t="shared" si="33"/>
        <v>51293.8</v>
      </c>
      <c r="L401" s="106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9.5" customHeight="1">
      <c r="A402" s="124" t="s">
        <v>63</v>
      </c>
      <c r="B402" s="78">
        <v>805</v>
      </c>
      <c r="C402" s="67" t="s">
        <v>625</v>
      </c>
      <c r="D402" s="67" t="s">
        <v>106</v>
      </c>
      <c r="E402" s="67" t="s">
        <v>649</v>
      </c>
      <c r="F402" s="67" t="s">
        <v>660</v>
      </c>
      <c r="G402" s="96">
        <v>47506.6</v>
      </c>
      <c r="H402" s="104">
        <v>57.8</v>
      </c>
      <c r="I402" s="99">
        <f t="shared" si="36"/>
        <v>47564.4</v>
      </c>
      <c r="J402" s="104">
        <f>3729.4</f>
        <v>3729.4</v>
      </c>
      <c r="K402" s="96">
        <f aca="true" t="shared" si="39" ref="K402:K465">I402+J402</f>
        <v>51293.8</v>
      </c>
      <c r="L402" s="106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9.5" customHeight="1">
      <c r="A403" s="120" t="s">
        <v>470</v>
      </c>
      <c r="B403" s="78">
        <v>805</v>
      </c>
      <c r="C403" s="67" t="s">
        <v>625</v>
      </c>
      <c r="D403" s="67" t="s">
        <v>106</v>
      </c>
      <c r="E403" s="67" t="s">
        <v>471</v>
      </c>
      <c r="F403" s="67"/>
      <c r="G403" s="96">
        <f>G404+G411+G409+G415+G413</f>
        <v>4549.8</v>
      </c>
      <c r="H403" s="99">
        <f>H404+H411+H409+H415+H413</f>
        <v>0</v>
      </c>
      <c r="I403" s="99">
        <f t="shared" si="36"/>
        <v>4549.8</v>
      </c>
      <c r="J403" s="99">
        <f>J404+J411+J409+J415+J413</f>
        <v>0</v>
      </c>
      <c r="K403" s="96">
        <f t="shared" si="39"/>
        <v>4549.8</v>
      </c>
      <c r="L403" s="106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34.5" customHeight="1" hidden="1">
      <c r="A404" s="135" t="s">
        <v>344</v>
      </c>
      <c r="B404" s="78">
        <v>805</v>
      </c>
      <c r="C404" s="67" t="s">
        <v>625</v>
      </c>
      <c r="D404" s="67" t="s">
        <v>106</v>
      </c>
      <c r="E404" s="67" t="s">
        <v>342</v>
      </c>
      <c r="F404" s="67"/>
      <c r="G404" s="96">
        <f>SUM(G405,G407)</f>
        <v>0</v>
      </c>
      <c r="H404" s="99">
        <f>SUM(H405,H407)</f>
        <v>0</v>
      </c>
      <c r="I404" s="99">
        <f t="shared" si="36"/>
        <v>0</v>
      </c>
      <c r="J404" s="99">
        <f>SUM(J405,J407)</f>
        <v>0</v>
      </c>
      <c r="K404" s="96">
        <f t="shared" si="39"/>
        <v>0</v>
      </c>
      <c r="L404" s="106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39" customHeight="1" hidden="1">
      <c r="A405" s="135" t="s">
        <v>345</v>
      </c>
      <c r="B405" s="78">
        <v>805</v>
      </c>
      <c r="C405" s="67" t="s">
        <v>625</v>
      </c>
      <c r="D405" s="67" t="s">
        <v>106</v>
      </c>
      <c r="E405" s="67" t="s">
        <v>368</v>
      </c>
      <c r="F405" s="67"/>
      <c r="G405" s="96">
        <f>SUM(G406)</f>
        <v>0</v>
      </c>
      <c r="H405" s="99">
        <f>SUM(H406)</f>
        <v>0</v>
      </c>
      <c r="I405" s="99">
        <f t="shared" si="36"/>
        <v>0</v>
      </c>
      <c r="J405" s="99">
        <f>SUM(J406)</f>
        <v>0</v>
      </c>
      <c r="K405" s="96">
        <f t="shared" si="39"/>
        <v>0</v>
      </c>
      <c r="L405" s="106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8" customHeight="1" hidden="1">
      <c r="A406" s="120" t="s">
        <v>619</v>
      </c>
      <c r="B406" s="78">
        <v>805</v>
      </c>
      <c r="C406" s="67" t="s">
        <v>625</v>
      </c>
      <c r="D406" s="67" t="s">
        <v>106</v>
      </c>
      <c r="E406" s="67" t="s">
        <v>368</v>
      </c>
      <c r="F406" s="67" t="s">
        <v>193</v>
      </c>
      <c r="G406" s="96"/>
      <c r="H406" s="99"/>
      <c r="I406" s="99">
        <f aca="true" t="shared" si="40" ref="I406:I435">H406+G406</f>
        <v>0</v>
      </c>
      <c r="J406" s="99"/>
      <c r="K406" s="96">
        <f t="shared" si="39"/>
        <v>0</v>
      </c>
      <c r="L406" s="106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35.25" customHeight="1" hidden="1">
      <c r="A407" s="135" t="s">
        <v>615</v>
      </c>
      <c r="B407" s="78">
        <v>805</v>
      </c>
      <c r="C407" s="67" t="s">
        <v>625</v>
      </c>
      <c r="D407" s="67" t="s">
        <v>106</v>
      </c>
      <c r="E407" s="67" t="s">
        <v>369</v>
      </c>
      <c r="F407" s="67"/>
      <c r="G407" s="96">
        <f>SUM(G408)</f>
        <v>0</v>
      </c>
      <c r="H407" s="99">
        <f>SUM(H408)</f>
        <v>0</v>
      </c>
      <c r="I407" s="99">
        <f t="shared" si="40"/>
        <v>0</v>
      </c>
      <c r="J407" s="99">
        <f>SUM(J408)</f>
        <v>0</v>
      </c>
      <c r="K407" s="96">
        <f t="shared" si="39"/>
        <v>0</v>
      </c>
      <c r="L407" s="106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8.75" customHeight="1" hidden="1">
      <c r="A408" s="120" t="s">
        <v>618</v>
      </c>
      <c r="B408" s="78">
        <v>805</v>
      </c>
      <c r="C408" s="67" t="s">
        <v>625</v>
      </c>
      <c r="D408" s="67" t="s">
        <v>106</v>
      </c>
      <c r="E408" s="67" t="s">
        <v>369</v>
      </c>
      <c r="F408" s="67" t="s">
        <v>193</v>
      </c>
      <c r="G408" s="96"/>
      <c r="H408" s="99"/>
      <c r="I408" s="99">
        <f t="shared" si="40"/>
        <v>0</v>
      </c>
      <c r="J408" s="99"/>
      <c r="K408" s="96">
        <f t="shared" si="39"/>
        <v>0</v>
      </c>
      <c r="L408" s="106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8.75" customHeight="1" hidden="1">
      <c r="A409" s="135" t="s">
        <v>4</v>
      </c>
      <c r="B409" s="78">
        <v>805</v>
      </c>
      <c r="C409" s="67" t="s">
        <v>625</v>
      </c>
      <c r="D409" s="67" t="s">
        <v>106</v>
      </c>
      <c r="E409" s="67" t="s">
        <v>371</v>
      </c>
      <c r="F409" s="67"/>
      <c r="G409" s="96">
        <f>SUM(G410)</f>
        <v>0</v>
      </c>
      <c r="H409" s="99">
        <f>SUM(H410)</f>
        <v>0</v>
      </c>
      <c r="I409" s="99">
        <f t="shared" si="40"/>
        <v>0</v>
      </c>
      <c r="J409" s="99">
        <f>SUM(J410)</f>
        <v>0</v>
      </c>
      <c r="K409" s="96">
        <f t="shared" si="39"/>
        <v>0</v>
      </c>
      <c r="L409" s="106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8.75" customHeight="1" hidden="1">
      <c r="A410" s="120" t="s">
        <v>618</v>
      </c>
      <c r="B410" s="78">
        <v>805</v>
      </c>
      <c r="C410" s="67" t="s">
        <v>625</v>
      </c>
      <c r="D410" s="67" t="s">
        <v>106</v>
      </c>
      <c r="E410" s="67" t="s">
        <v>371</v>
      </c>
      <c r="F410" s="67" t="s">
        <v>193</v>
      </c>
      <c r="G410" s="96"/>
      <c r="H410" s="99"/>
      <c r="I410" s="99">
        <f t="shared" si="40"/>
        <v>0</v>
      </c>
      <c r="J410" s="99"/>
      <c r="K410" s="96">
        <f t="shared" si="39"/>
        <v>0</v>
      </c>
      <c r="L410" s="106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33.75" customHeight="1" hidden="1">
      <c r="A411" s="135" t="s">
        <v>404</v>
      </c>
      <c r="B411" s="78">
        <v>805</v>
      </c>
      <c r="C411" s="67" t="s">
        <v>625</v>
      </c>
      <c r="D411" s="67" t="s">
        <v>106</v>
      </c>
      <c r="E411" s="67" t="s">
        <v>370</v>
      </c>
      <c r="F411" s="67"/>
      <c r="G411" s="96">
        <f>SUM(G412)</f>
        <v>0</v>
      </c>
      <c r="H411" s="99">
        <f>SUM(H412)</f>
        <v>0</v>
      </c>
      <c r="I411" s="99">
        <f t="shared" si="40"/>
        <v>0</v>
      </c>
      <c r="J411" s="99">
        <f>SUM(J412)</f>
        <v>0</v>
      </c>
      <c r="K411" s="96">
        <f t="shared" si="39"/>
        <v>0</v>
      </c>
      <c r="L411" s="106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6.5" hidden="1">
      <c r="A412" s="120" t="s">
        <v>618</v>
      </c>
      <c r="B412" s="78">
        <v>805</v>
      </c>
      <c r="C412" s="67" t="s">
        <v>625</v>
      </c>
      <c r="D412" s="67" t="s">
        <v>106</v>
      </c>
      <c r="E412" s="67" t="s">
        <v>370</v>
      </c>
      <c r="F412" s="67" t="s">
        <v>193</v>
      </c>
      <c r="G412" s="96"/>
      <c r="H412" s="99"/>
      <c r="I412" s="99">
        <f t="shared" si="40"/>
        <v>0</v>
      </c>
      <c r="J412" s="99"/>
      <c r="K412" s="96">
        <f t="shared" si="39"/>
        <v>0</v>
      </c>
      <c r="L412" s="106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34.5" customHeight="1">
      <c r="A413" s="120" t="s">
        <v>743</v>
      </c>
      <c r="B413" s="78">
        <v>805</v>
      </c>
      <c r="C413" s="67" t="s">
        <v>625</v>
      </c>
      <c r="D413" s="67" t="s">
        <v>106</v>
      </c>
      <c r="E413" s="67" t="s">
        <v>576</v>
      </c>
      <c r="F413" s="79"/>
      <c r="G413" s="96">
        <f>SUM(G414)</f>
        <v>2573</v>
      </c>
      <c r="H413" s="99">
        <f>SUM(H414)</f>
        <v>0</v>
      </c>
      <c r="I413" s="99">
        <f t="shared" si="40"/>
        <v>2573</v>
      </c>
      <c r="J413" s="99">
        <f>SUM(J414)</f>
        <v>0</v>
      </c>
      <c r="K413" s="96">
        <f t="shared" si="39"/>
        <v>2573</v>
      </c>
      <c r="L413" s="106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6.5">
      <c r="A414" s="120" t="s">
        <v>619</v>
      </c>
      <c r="B414" s="78">
        <v>805</v>
      </c>
      <c r="C414" s="67" t="s">
        <v>625</v>
      </c>
      <c r="D414" s="67" t="s">
        <v>106</v>
      </c>
      <c r="E414" s="67" t="s">
        <v>576</v>
      </c>
      <c r="F414" s="79" t="s">
        <v>193</v>
      </c>
      <c r="G414" s="96">
        <v>2573</v>
      </c>
      <c r="H414" s="104"/>
      <c r="I414" s="99">
        <f t="shared" si="40"/>
        <v>2573</v>
      </c>
      <c r="J414" s="104"/>
      <c r="K414" s="96">
        <f t="shared" si="39"/>
        <v>2573</v>
      </c>
      <c r="L414" s="106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33">
      <c r="A415" s="120" t="s">
        <v>518</v>
      </c>
      <c r="B415" s="78">
        <v>805</v>
      </c>
      <c r="C415" s="67" t="s">
        <v>625</v>
      </c>
      <c r="D415" s="67" t="s">
        <v>106</v>
      </c>
      <c r="E415" s="67" t="s">
        <v>553</v>
      </c>
      <c r="F415" s="67"/>
      <c r="G415" s="96">
        <f>G416</f>
        <v>1976.8</v>
      </c>
      <c r="H415" s="99">
        <f>H416</f>
        <v>0</v>
      </c>
      <c r="I415" s="99">
        <f t="shared" si="40"/>
        <v>1976.8</v>
      </c>
      <c r="J415" s="99">
        <f>J416</f>
        <v>0</v>
      </c>
      <c r="K415" s="96">
        <f t="shared" si="39"/>
        <v>1976.8</v>
      </c>
      <c r="L415" s="106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6.5">
      <c r="A416" s="120" t="s">
        <v>619</v>
      </c>
      <c r="B416" s="78">
        <v>805</v>
      </c>
      <c r="C416" s="67" t="s">
        <v>625</v>
      </c>
      <c r="D416" s="67" t="s">
        <v>106</v>
      </c>
      <c r="E416" s="67" t="s">
        <v>553</v>
      </c>
      <c r="F416" s="67" t="s">
        <v>193</v>
      </c>
      <c r="G416" s="96">
        <v>1976.8</v>
      </c>
      <c r="H416" s="104"/>
      <c r="I416" s="99">
        <f t="shared" si="40"/>
        <v>1976.8</v>
      </c>
      <c r="J416" s="104"/>
      <c r="K416" s="96">
        <f t="shared" si="39"/>
        <v>1976.8</v>
      </c>
      <c r="L416" s="106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6.5">
      <c r="A417" s="124" t="s">
        <v>718</v>
      </c>
      <c r="B417" s="78">
        <v>805</v>
      </c>
      <c r="C417" s="67" t="s">
        <v>625</v>
      </c>
      <c r="D417" s="67" t="s">
        <v>106</v>
      </c>
      <c r="E417" s="67" t="s">
        <v>80</v>
      </c>
      <c r="F417" s="67"/>
      <c r="G417" s="96">
        <f aca="true" t="shared" si="41" ref="G417:J418">G418</f>
        <v>5034.9</v>
      </c>
      <c r="H417" s="99">
        <f t="shared" si="41"/>
        <v>0</v>
      </c>
      <c r="I417" s="99">
        <f t="shared" si="40"/>
        <v>5034.9</v>
      </c>
      <c r="J417" s="99">
        <f t="shared" si="41"/>
        <v>0</v>
      </c>
      <c r="K417" s="96">
        <f t="shared" si="39"/>
        <v>5034.9</v>
      </c>
      <c r="L417" s="106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33" customHeight="1">
      <c r="A418" s="120" t="s">
        <v>186</v>
      </c>
      <c r="B418" s="78">
        <v>805</v>
      </c>
      <c r="C418" s="67" t="s">
        <v>625</v>
      </c>
      <c r="D418" s="67" t="s">
        <v>106</v>
      </c>
      <c r="E418" s="67" t="s">
        <v>256</v>
      </c>
      <c r="F418" s="67"/>
      <c r="G418" s="96">
        <f t="shared" si="41"/>
        <v>5034.9</v>
      </c>
      <c r="H418" s="99">
        <f t="shared" si="41"/>
        <v>0</v>
      </c>
      <c r="I418" s="99">
        <f t="shared" si="40"/>
        <v>5034.9</v>
      </c>
      <c r="J418" s="99">
        <f t="shared" si="41"/>
        <v>0</v>
      </c>
      <c r="K418" s="96">
        <f t="shared" si="39"/>
        <v>5034.9</v>
      </c>
      <c r="L418" s="106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6.5">
      <c r="A419" s="126" t="s">
        <v>711</v>
      </c>
      <c r="B419" s="78">
        <v>805</v>
      </c>
      <c r="C419" s="67" t="s">
        <v>625</v>
      </c>
      <c r="D419" s="67" t="s">
        <v>106</v>
      </c>
      <c r="E419" s="67" t="s">
        <v>256</v>
      </c>
      <c r="F419" s="67" t="s">
        <v>275</v>
      </c>
      <c r="G419" s="96">
        <v>5034.9</v>
      </c>
      <c r="H419" s="104"/>
      <c r="I419" s="99">
        <f t="shared" si="40"/>
        <v>5034.9</v>
      </c>
      <c r="J419" s="104"/>
      <c r="K419" s="96">
        <f t="shared" si="39"/>
        <v>5034.9</v>
      </c>
      <c r="L419" s="106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9.5" customHeight="1">
      <c r="A420" s="146" t="s">
        <v>441</v>
      </c>
      <c r="B420" s="78">
        <v>805</v>
      </c>
      <c r="C420" s="67" t="s">
        <v>625</v>
      </c>
      <c r="D420" s="67" t="s">
        <v>106</v>
      </c>
      <c r="E420" s="67" t="s">
        <v>433</v>
      </c>
      <c r="F420" s="67"/>
      <c r="G420" s="96">
        <f>G421+G428</f>
        <v>5469.5</v>
      </c>
      <c r="H420" s="99">
        <f>H421+H428</f>
        <v>0</v>
      </c>
      <c r="I420" s="99">
        <f t="shared" si="40"/>
        <v>5469.5</v>
      </c>
      <c r="J420" s="99">
        <f>J421+J428</f>
        <v>3</v>
      </c>
      <c r="K420" s="96">
        <f t="shared" si="39"/>
        <v>5472.5</v>
      </c>
      <c r="L420" s="106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9.5" customHeight="1">
      <c r="A421" s="146" t="s">
        <v>470</v>
      </c>
      <c r="B421" s="78">
        <v>805</v>
      </c>
      <c r="C421" s="67" t="s">
        <v>625</v>
      </c>
      <c r="D421" s="67" t="s">
        <v>106</v>
      </c>
      <c r="E421" s="67" t="s">
        <v>434</v>
      </c>
      <c r="F421" s="67"/>
      <c r="G421" s="96">
        <f>G422+G424+G426</f>
        <v>3734.1</v>
      </c>
      <c r="H421" s="99">
        <f>H422+H424+H426</f>
        <v>0</v>
      </c>
      <c r="I421" s="99">
        <f t="shared" si="40"/>
        <v>3734.1</v>
      </c>
      <c r="J421" s="99">
        <f>J422+J424+J426</f>
        <v>3</v>
      </c>
      <c r="K421" s="96">
        <f t="shared" si="39"/>
        <v>3737.1</v>
      </c>
      <c r="L421" s="106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8" customHeight="1">
      <c r="A422" s="136" t="s">
        <v>279</v>
      </c>
      <c r="B422" s="78">
        <v>805</v>
      </c>
      <c r="C422" s="67" t="s">
        <v>625</v>
      </c>
      <c r="D422" s="67" t="s">
        <v>106</v>
      </c>
      <c r="E422" s="67" t="s">
        <v>446</v>
      </c>
      <c r="F422" s="67"/>
      <c r="G422" s="96">
        <f>SUM(G423)</f>
        <v>1796</v>
      </c>
      <c r="H422" s="99">
        <f>SUM(H423)</f>
        <v>0</v>
      </c>
      <c r="I422" s="99">
        <f t="shared" si="40"/>
        <v>1796</v>
      </c>
      <c r="J422" s="99">
        <f>SUM(J423)</f>
        <v>3</v>
      </c>
      <c r="K422" s="96">
        <f t="shared" si="39"/>
        <v>1799</v>
      </c>
      <c r="L422" s="106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8.75" customHeight="1">
      <c r="A423" s="120" t="s">
        <v>619</v>
      </c>
      <c r="B423" s="78">
        <v>805</v>
      </c>
      <c r="C423" s="67" t="s">
        <v>625</v>
      </c>
      <c r="D423" s="67" t="s">
        <v>106</v>
      </c>
      <c r="E423" s="67" t="s">
        <v>446</v>
      </c>
      <c r="F423" s="67" t="s">
        <v>193</v>
      </c>
      <c r="G423" s="96">
        <v>1796</v>
      </c>
      <c r="H423" s="104"/>
      <c r="I423" s="99">
        <f t="shared" si="40"/>
        <v>1796</v>
      </c>
      <c r="J423" s="104">
        <v>3</v>
      </c>
      <c r="K423" s="96">
        <f t="shared" si="39"/>
        <v>1799</v>
      </c>
      <c r="L423" s="106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9.5" customHeight="1">
      <c r="A424" s="136" t="s">
        <v>9</v>
      </c>
      <c r="B424" s="78">
        <v>805</v>
      </c>
      <c r="C424" s="67" t="s">
        <v>625</v>
      </c>
      <c r="D424" s="67" t="s">
        <v>106</v>
      </c>
      <c r="E424" s="67" t="s">
        <v>442</v>
      </c>
      <c r="F424" s="67"/>
      <c r="G424" s="96">
        <f>SUM(G425)</f>
        <v>1058.1</v>
      </c>
      <c r="H424" s="99">
        <f>SUM(H425)</f>
        <v>0</v>
      </c>
      <c r="I424" s="99">
        <f t="shared" si="40"/>
        <v>1058.1</v>
      </c>
      <c r="J424" s="99">
        <f>SUM(J425)</f>
        <v>0</v>
      </c>
      <c r="K424" s="96">
        <f t="shared" si="39"/>
        <v>1058.1</v>
      </c>
      <c r="L424" s="106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8.75" customHeight="1">
      <c r="A425" s="120" t="s">
        <v>619</v>
      </c>
      <c r="B425" s="78">
        <v>805</v>
      </c>
      <c r="C425" s="67" t="s">
        <v>625</v>
      </c>
      <c r="D425" s="67" t="s">
        <v>106</v>
      </c>
      <c r="E425" s="67" t="s">
        <v>442</v>
      </c>
      <c r="F425" s="67" t="s">
        <v>193</v>
      </c>
      <c r="G425" s="96">
        <v>1058.1</v>
      </c>
      <c r="H425" s="104"/>
      <c r="I425" s="99">
        <f t="shared" si="40"/>
        <v>1058.1</v>
      </c>
      <c r="J425" s="104"/>
      <c r="K425" s="96">
        <f t="shared" si="39"/>
        <v>1058.1</v>
      </c>
      <c r="L425" s="106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9.5" customHeight="1">
      <c r="A426" s="136" t="s">
        <v>11</v>
      </c>
      <c r="B426" s="78">
        <v>805</v>
      </c>
      <c r="C426" s="67" t="s">
        <v>625</v>
      </c>
      <c r="D426" s="67" t="s">
        <v>106</v>
      </c>
      <c r="E426" s="67" t="s">
        <v>440</v>
      </c>
      <c r="F426" s="67"/>
      <c r="G426" s="96">
        <f>G427</f>
        <v>880</v>
      </c>
      <c r="H426" s="99">
        <f>H427</f>
        <v>0</v>
      </c>
      <c r="I426" s="99">
        <f t="shared" si="40"/>
        <v>880</v>
      </c>
      <c r="J426" s="99">
        <f>J427</f>
        <v>0</v>
      </c>
      <c r="K426" s="96">
        <f t="shared" si="39"/>
        <v>880</v>
      </c>
      <c r="L426" s="106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6.5">
      <c r="A427" s="120" t="s">
        <v>619</v>
      </c>
      <c r="B427" s="78">
        <v>805</v>
      </c>
      <c r="C427" s="67" t="s">
        <v>625</v>
      </c>
      <c r="D427" s="67" t="s">
        <v>106</v>
      </c>
      <c r="E427" s="67" t="s">
        <v>440</v>
      </c>
      <c r="F427" s="67" t="s">
        <v>193</v>
      </c>
      <c r="G427" s="96">
        <v>880</v>
      </c>
      <c r="H427" s="104"/>
      <c r="I427" s="99">
        <f t="shared" si="40"/>
        <v>880</v>
      </c>
      <c r="J427" s="104"/>
      <c r="K427" s="96">
        <f t="shared" si="39"/>
        <v>880</v>
      </c>
      <c r="L427" s="106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6.5">
      <c r="A428" s="120" t="s">
        <v>527</v>
      </c>
      <c r="B428" s="78">
        <v>805</v>
      </c>
      <c r="C428" s="67" t="s">
        <v>625</v>
      </c>
      <c r="D428" s="67" t="s">
        <v>106</v>
      </c>
      <c r="E428" s="67" t="s">
        <v>650</v>
      </c>
      <c r="F428" s="67"/>
      <c r="G428" s="96">
        <f aca="true" t="shared" si="42" ref="G428:J429">G429</f>
        <v>1735.4</v>
      </c>
      <c r="H428" s="99">
        <f t="shared" si="42"/>
        <v>0</v>
      </c>
      <c r="I428" s="99">
        <f t="shared" si="40"/>
        <v>1735.4</v>
      </c>
      <c r="J428" s="99">
        <f t="shared" si="42"/>
        <v>0</v>
      </c>
      <c r="K428" s="96">
        <f t="shared" si="39"/>
        <v>1735.4</v>
      </c>
      <c r="L428" s="106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6.5">
      <c r="A429" s="136" t="s">
        <v>784</v>
      </c>
      <c r="B429" s="78">
        <v>805</v>
      </c>
      <c r="C429" s="67" t="s">
        <v>625</v>
      </c>
      <c r="D429" s="67" t="s">
        <v>106</v>
      </c>
      <c r="E429" s="67" t="s">
        <v>447</v>
      </c>
      <c r="F429" s="67"/>
      <c r="G429" s="96">
        <f t="shared" si="42"/>
        <v>1735.4</v>
      </c>
      <c r="H429" s="99">
        <f t="shared" si="42"/>
        <v>0</v>
      </c>
      <c r="I429" s="99">
        <f t="shared" si="40"/>
        <v>1735.4</v>
      </c>
      <c r="J429" s="99">
        <f t="shared" si="42"/>
        <v>0</v>
      </c>
      <c r="K429" s="96">
        <f t="shared" si="39"/>
        <v>1735.4</v>
      </c>
      <c r="L429" s="106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6.5">
      <c r="A430" s="120" t="s">
        <v>619</v>
      </c>
      <c r="B430" s="78">
        <v>805</v>
      </c>
      <c r="C430" s="67" t="s">
        <v>625</v>
      </c>
      <c r="D430" s="67" t="s">
        <v>106</v>
      </c>
      <c r="E430" s="67" t="s">
        <v>447</v>
      </c>
      <c r="F430" s="67" t="s">
        <v>193</v>
      </c>
      <c r="G430" s="96">
        <v>1735.4</v>
      </c>
      <c r="H430" s="104"/>
      <c r="I430" s="99">
        <f t="shared" si="40"/>
        <v>1735.4</v>
      </c>
      <c r="J430" s="104"/>
      <c r="K430" s="96">
        <f t="shared" si="39"/>
        <v>1735.4</v>
      </c>
      <c r="L430" s="106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9.5" customHeight="1" hidden="1">
      <c r="A431" s="136" t="s">
        <v>290</v>
      </c>
      <c r="B431" s="78">
        <v>805</v>
      </c>
      <c r="C431" s="67" t="s">
        <v>109</v>
      </c>
      <c r="D431" s="67"/>
      <c r="E431" s="67"/>
      <c r="F431" s="67"/>
      <c r="G431" s="96">
        <f>G432</f>
        <v>0</v>
      </c>
      <c r="H431" s="104"/>
      <c r="I431" s="99">
        <f t="shared" si="40"/>
        <v>0</v>
      </c>
      <c r="J431" s="104"/>
      <c r="K431" s="96">
        <f t="shared" si="39"/>
        <v>0</v>
      </c>
      <c r="L431" s="106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9.5" customHeight="1" hidden="1">
      <c r="A432" s="136" t="s">
        <v>314</v>
      </c>
      <c r="B432" s="78">
        <v>805</v>
      </c>
      <c r="C432" s="67" t="s">
        <v>109</v>
      </c>
      <c r="D432" s="67" t="s">
        <v>24</v>
      </c>
      <c r="E432" s="67"/>
      <c r="F432" s="67"/>
      <c r="G432" s="96">
        <f>G433</f>
        <v>0</v>
      </c>
      <c r="H432" s="104"/>
      <c r="I432" s="99">
        <f t="shared" si="40"/>
        <v>0</v>
      </c>
      <c r="J432" s="104"/>
      <c r="K432" s="96">
        <f t="shared" si="39"/>
        <v>0</v>
      </c>
      <c r="L432" s="106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9.5" customHeight="1" hidden="1">
      <c r="A433" s="124" t="s">
        <v>5</v>
      </c>
      <c r="B433" s="78">
        <v>805</v>
      </c>
      <c r="C433" s="67" t="s">
        <v>109</v>
      </c>
      <c r="D433" s="67" t="s">
        <v>24</v>
      </c>
      <c r="E433" s="67" t="s">
        <v>248</v>
      </c>
      <c r="F433" s="67"/>
      <c r="G433" s="96">
        <f>G434</f>
        <v>0</v>
      </c>
      <c r="H433" s="104"/>
      <c r="I433" s="99">
        <f t="shared" si="40"/>
        <v>0</v>
      </c>
      <c r="J433" s="104"/>
      <c r="K433" s="96">
        <f t="shared" si="39"/>
        <v>0</v>
      </c>
      <c r="L433" s="106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9.5" customHeight="1" hidden="1">
      <c r="A434" s="135" t="s">
        <v>249</v>
      </c>
      <c r="B434" s="78">
        <v>805</v>
      </c>
      <c r="C434" s="67" t="s">
        <v>109</v>
      </c>
      <c r="D434" s="67" t="s">
        <v>24</v>
      </c>
      <c r="E434" s="67" t="s">
        <v>250</v>
      </c>
      <c r="F434" s="67"/>
      <c r="G434" s="96">
        <f>G435</f>
        <v>0</v>
      </c>
      <c r="H434" s="104"/>
      <c r="I434" s="99">
        <f t="shared" si="40"/>
        <v>0</v>
      </c>
      <c r="J434" s="104"/>
      <c r="K434" s="96">
        <f t="shared" si="39"/>
        <v>0</v>
      </c>
      <c r="L434" s="106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9.5" customHeight="1" hidden="1">
      <c r="A435" s="135" t="s">
        <v>651</v>
      </c>
      <c r="B435" s="78">
        <v>805</v>
      </c>
      <c r="C435" s="67" t="s">
        <v>109</v>
      </c>
      <c r="D435" s="67" t="s">
        <v>24</v>
      </c>
      <c r="E435" s="67" t="s">
        <v>250</v>
      </c>
      <c r="F435" s="67" t="s">
        <v>374</v>
      </c>
      <c r="G435" s="96"/>
      <c r="H435" s="104"/>
      <c r="I435" s="99">
        <f t="shared" si="40"/>
        <v>0</v>
      </c>
      <c r="J435" s="104"/>
      <c r="K435" s="96">
        <f t="shared" si="39"/>
        <v>0</v>
      </c>
      <c r="L435" s="106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9.5" customHeight="1">
      <c r="A436" s="140" t="s">
        <v>848</v>
      </c>
      <c r="B436" s="78">
        <v>805</v>
      </c>
      <c r="C436" s="67" t="s">
        <v>106</v>
      </c>
      <c r="D436" s="67"/>
      <c r="E436" s="67"/>
      <c r="F436" s="67"/>
      <c r="G436" s="96"/>
      <c r="H436" s="104"/>
      <c r="I436" s="99"/>
      <c r="J436" s="104">
        <f>J437</f>
        <v>1374.6</v>
      </c>
      <c r="K436" s="96">
        <f t="shared" si="39"/>
        <v>1374.6</v>
      </c>
      <c r="L436" s="106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9.5" customHeight="1">
      <c r="A437" s="140" t="s">
        <v>608</v>
      </c>
      <c r="B437" s="78">
        <v>805</v>
      </c>
      <c r="C437" s="67" t="s">
        <v>106</v>
      </c>
      <c r="D437" s="67" t="s">
        <v>106</v>
      </c>
      <c r="E437" s="67"/>
      <c r="F437" s="67"/>
      <c r="G437" s="96"/>
      <c r="H437" s="104"/>
      <c r="I437" s="99"/>
      <c r="J437" s="104">
        <f>J438</f>
        <v>1374.6</v>
      </c>
      <c r="K437" s="96">
        <f t="shared" si="39"/>
        <v>1374.6</v>
      </c>
      <c r="L437" s="106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9.5" customHeight="1">
      <c r="A438" s="140" t="s">
        <v>849</v>
      </c>
      <c r="B438" s="78">
        <v>805</v>
      </c>
      <c r="C438" s="67" t="s">
        <v>106</v>
      </c>
      <c r="D438" s="67" t="s">
        <v>106</v>
      </c>
      <c r="E438" s="67" t="s">
        <v>407</v>
      </c>
      <c r="F438" s="67"/>
      <c r="G438" s="96"/>
      <c r="H438" s="104"/>
      <c r="I438" s="99"/>
      <c r="J438" s="104">
        <f>J441+J439</f>
        <v>1374.6</v>
      </c>
      <c r="K438" s="96">
        <f t="shared" si="39"/>
        <v>1374.6</v>
      </c>
      <c r="L438" s="106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31.5" customHeight="1">
      <c r="A439" s="140" t="s">
        <v>749</v>
      </c>
      <c r="B439" s="78">
        <v>805</v>
      </c>
      <c r="C439" s="67" t="s">
        <v>106</v>
      </c>
      <c r="D439" s="67" t="s">
        <v>106</v>
      </c>
      <c r="E439" s="67" t="s">
        <v>750</v>
      </c>
      <c r="F439" s="67"/>
      <c r="G439" s="96"/>
      <c r="H439" s="104"/>
      <c r="I439" s="99"/>
      <c r="J439" s="104">
        <f>J440</f>
        <v>76.1</v>
      </c>
      <c r="K439" s="96">
        <f t="shared" si="39"/>
        <v>76.1</v>
      </c>
      <c r="L439" s="106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9.5" customHeight="1">
      <c r="A440" s="141" t="s">
        <v>852</v>
      </c>
      <c r="B440" s="78">
        <v>805</v>
      </c>
      <c r="C440" s="67" t="s">
        <v>106</v>
      </c>
      <c r="D440" s="67" t="s">
        <v>106</v>
      </c>
      <c r="E440" s="67" t="s">
        <v>750</v>
      </c>
      <c r="F440" s="67" t="s">
        <v>831</v>
      </c>
      <c r="G440" s="96"/>
      <c r="H440" s="104"/>
      <c r="I440" s="99"/>
      <c r="J440" s="104">
        <v>76.1</v>
      </c>
      <c r="K440" s="96">
        <f t="shared" si="39"/>
        <v>76.1</v>
      </c>
      <c r="L440" s="106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9.5" customHeight="1">
      <c r="A441" s="140" t="s">
        <v>850</v>
      </c>
      <c r="B441" s="78">
        <v>805</v>
      </c>
      <c r="C441" s="67" t="s">
        <v>106</v>
      </c>
      <c r="D441" s="67" t="s">
        <v>106</v>
      </c>
      <c r="E441" s="67" t="s">
        <v>543</v>
      </c>
      <c r="F441" s="67"/>
      <c r="G441" s="96"/>
      <c r="H441" s="104"/>
      <c r="I441" s="99"/>
      <c r="J441" s="104">
        <f>J442</f>
        <v>1298.5</v>
      </c>
      <c r="K441" s="96">
        <f t="shared" si="39"/>
        <v>1298.5</v>
      </c>
      <c r="L441" s="106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30.75" customHeight="1">
      <c r="A442" s="140" t="s">
        <v>178</v>
      </c>
      <c r="B442" s="78">
        <v>805</v>
      </c>
      <c r="C442" s="67" t="s">
        <v>106</v>
      </c>
      <c r="D442" s="67" t="s">
        <v>106</v>
      </c>
      <c r="E442" s="67" t="s">
        <v>851</v>
      </c>
      <c r="F442" s="67"/>
      <c r="G442" s="96"/>
      <c r="H442" s="104"/>
      <c r="I442" s="99"/>
      <c r="J442" s="104">
        <f>J443</f>
        <v>1298.5</v>
      </c>
      <c r="K442" s="96">
        <f t="shared" si="39"/>
        <v>1298.5</v>
      </c>
      <c r="L442" s="106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9.5" customHeight="1">
      <c r="A443" s="141" t="s">
        <v>852</v>
      </c>
      <c r="B443" s="78">
        <v>805</v>
      </c>
      <c r="C443" s="67" t="s">
        <v>106</v>
      </c>
      <c r="D443" s="67" t="s">
        <v>106</v>
      </c>
      <c r="E443" s="67" t="s">
        <v>851</v>
      </c>
      <c r="F443" s="67" t="s">
        <v>831</v>
      </c>
      <c r="G443" s="96"/>
      <c r="H443" s="104"/>
      <c r="I443" s="99"/>
      <c r="J443" s="104">
        <f>1298.5</f>
        <v>1298.5</v>
      </c>
      <c r="K443" s="96">
        <f t="shared" si="39"/>
        <v>1298.5</v>
      </c>
      <c r="L443" s="106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6.5">
      <c r="A444" s="146" t="s">
        <v>510</v>
      </c>
      <c r="B444" s="78">
        <v>805</v>
      </c>
      <c r="C444" s="67" t="s">
        <v>589</v>
      </c>
      <c r="D444" s="67"/>
      <c r="E444" s="67"/>
      <c r="F444" s="67"/>
      <c r="G444" s="96">
        <f>G445+G452+G458</f>
        <v>85118.79999999999</v>
      </c>
      <c r="H444" s="99">
        <f>H445+H452+H458</f>
        <v>0</v>
      </c>
      <c r="I444" s="99">
        <f>H444+G444</f>
        <v>85118.79999999999</v>
      </c>
      <c r="J444" s="99">
        <f>J445+J452+J458</f>
        <v>486.1999999999998</v>
      </c>
      <c r="K444" s="96">
        <f t="shared" si="39"/>
        <v>85604.99999999999</v>
      </c>
      <c r="L444" s="106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6.5">
      <c r="A445" s="120" t="s">
        <v>463</v>
      </c>
      <c r="B445" s="78">
        <v>805</v>
      </c>
      <c r="C445" s="67" t="s">
        <v>589</v>
      </c>
      <c r="D445" s="67" t="s">
        <v>26</v>
      </c>
      <c r="E445" s="67"/>
      <c r="F445" s="67"/>
      <c r="G445" s="96">
        <f>SUM(G446)</f>
        <v>5236.9</v>
      </c>
      <c r="H445" s="99">
        <f>SUM(H446)</f>
        <v>0</v>
      </c>
      <c r="I445" s="99">
        <f>H445+G445</f>
        <v>5236.9</v>
      </c>
      <c r="J445" s="99">
        <f>SUM(J446)</f>
        <v>0</v>
      </c>
      <c r="K445" s="96">
        <f t="shared" si="39"/>
        <v>5236.9</v>
      </c>
      <c r="L445" s="106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8" customHeight="1">
      <c r="A446" s="124" t="s">
        <v>718</v>
      </c>
      <c r="B446" s="78">
        <v>805</v>
      </c>
      <c r="C446" s="67" t="s">
        <v>589</v>
      </c>
      <c r="D446" s="67" t="s">
        <v>26</v>
      </c>
      <c r="E446" s="67" t="s">
        <v>80</v>
      </c>
      <c r="F446" s="67"/>
      <c r="G446" s="96">
        <f>G447+G450</f>
        <v>5236.9</v>
      </c>
      <c r="H446" s="99">
        <f>H447+H450</f>
        <v>0</v>
      </c>
      <c r="I446" s="99">
        <f aca="true" t="shared" si="43" ref="I446:I509">H446+G446</f>
        <v>5236.9</v>
      </c>
      <c r="J446" s="99">
        <f>J447+J450</f>
        <v>0</v>
      </c>
      <c r="K446" s="96">
        <f t="shared" si="39"/>
        <v>5236.9</v>
      </c>
      <c r="L446" s="106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33" customHeight="1">
      <c r="A447" s="124" t="s">
        <v>767</v>
      </c>
      <c r="B447" s="78">
        <v>805</v>
      </c>
      <c r="C447" s="67" t="s">
        <v>589</v>
      </c>
      <c r="D447" s="67" t="s">
        <v>26</v>
      </c>
      <c r="E447" s="67" t="s">
        <v>83</v>
      </c>
      <c r="F447" s="67"/>
      <c r="G447" s="96">
        <f aca="true" t="shared" si="44" ref="G447:J448">SUM(G448)</f>
        <v>1743.7</v>
      </c>
      <c r="H447" s="99">
        <f t="shared" si="44"/>
        <v>0</v>
      </c>
      <c r="I447" s="99">
        <f t="shared" si="43"/>
        <v>1743.7</v>
      </c>
      <c r="J447" s="99">
        <f t="shared" si="44"/>
        <v>0</v>
      </c>
      <c r="K447" s="96">
        <f t="shared" si="39"/>
        <v>1743.7</v>
      </c>
      <c r="L447" s="106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35" customHeight="1">
      <c r="A448" s="123" t="s">
        <v>772</v>
      </c>
      <c r="B448" s="78">
        <v>805</v>
      </c>
      <c r="C448" s="67" t="s">
        <v>589</v>
      </c>
      <c r="D448" s="67" t="s">
        <v>26</v>
      </c>
      <c r="E448" s="67" t="s">
        <v>87</v>
      </c>
      <c r="F448" s="67"/>
      <c r="G448" s="96">
        <f t="shared" si="44"/>
        <v>1743.7</v>
      </c>
      <c r="H448" s="99">
        <f t="shared" si="44"/>
        <v>0</v>
      </c>
      <c r="I448" s="99">
        <f t="shared" si="43"/>
        <v>1743.7</v>
      </c>
      <c r="J448" s="99">
        <f t="shared" si="44"/>
        <v>0</v>
      </c>
      <c r="K448" s="96">
        <f t="shared" si="39"/>
        <v>1743.7</v>
      </c>
      <c r="L448" s="106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8" customHeight="1">
      <c r="A449" s="136" t="s">
        <v>656</v>
      </c>
      <c r="B449" s="78">
        <v>805</v>
      </c>
      <c r="C449" s="67" t="s">
        <v>589</v>
      </c>
      <c r="D449" s="67" t="s">
        <v>26</v>
      </c>
      <c r="E449" s="67" t="s">
        <v>87</v>
      </c>
      <c r="F449" s="67" t="s">
        <v>117</v>
      </c>
      <c r="G449" s="96">
        <v>1743.7</v>
      </c>
      <c r="H449" s="104"/>
      <c r="I449" s="99">
        <f t="shared" si="43"/>
        <v>1743.7</v>
      </c>
      <c r="J449" s="104"/>
      <c r="K449" s="96">
        <f t="shared" si="39"/>
        <v>1743.7</v>
      </c>
      <c r="L449" s="106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37.25" customHeight="1">
      <c r="A450" s="136" t="s">
        <v>744</v>
      </c>
      <c r="B450" s="78">
        <v>805</v>
      </c>
      <c r="C450" s="67" t="s">
        <v>589</v>
      </c>
      <c r="D450" s="67" t="s">
        <v>26</v>
      </c>
      <c r="E450" s="67" t="s">
        <v>579</v>
      </c>
      <c r="F450" s="67"/>
      <c r="G450" s="96">
        <f>G451</f>
        <v>3493.2</v>
      </c>
      <c r="H450" s="99">
        <f>H451</f>
        <v>0</v>
      </c>
      <c r="I450" s="99">
        <f t="shared" si="43"/>
        <v>3493.2</v>
      </c>
      <c r="J450" s="99">
        <f>J451</f>
        <v>0</v>
      </c>
      <c r="K450" s="96">
        <f t="shared" si="39"/>
        <v>3493.2</v>
      </c>
      <c r="L450" s="106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8" customHeight="1">
      <c r="A451" s="136" t="s">
        <v>656</v>
      </c>
      <c r="B451" s="78">
        <v>805</v>
      </c>
      <c r="C451" s="67" t="s">
        <v>329</v>
      </c>
      <c r="D451" s="67" t="s">
        <v>26</v>
      </c>
      <c r="E451" s="67" t="s">
        <v>579</v>
      </c>
      <c r="F451" s="67" t="s">
        <v>117</v>
      </c>
      <c r="G451" s="96">
        <f>3493.2</f>
        <v>3493.2</v>
      </c>
      <c r="H451" s="104"/>
      <c r="I451" s="99">
        <f t="shared" si="43"/>
        <v>3493.2</v>
      </c>
      <c r="J451" s="104"/>
      <c r="K451" s="96">
        <f t="shared" si="39"/>
        <v>3493.2</v>
      </c>
      <c r="L451" s="106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8.75" customHeight="1">
      <c r="A452" s="136" t="s">
        <v>839</v>
      </c>
      <c r="B452" s="78">
        <v>805</v>
      </c>
      <c r="C452" s="67" t="s">
        <v>589</v>
      </c>
      <c r="D452" s="67" t="s">
        <v>27</v>
      </c>
      <c r="E452" s="67"/>
      <c r="F452" s="67"/>
      <c r="G452" s="96">
        <f>G453</f>
        <v>79701.9</v>
      </c>
      <c r="H452" s="99">
        <f>H453</f>
        <v>0</v>
      </c>
      <c r="I452" s="99">
        <f t="shared" si="43"/>
        <v>79701.9</v>
      </c>
      <c r="J452" s="99">
        <f>J453</f>
        <v>486.1999999999998</v>
      </c>
      <c r="K452" s="96">
        <f t="shared" si="39"/>
        <v>80188.09999999999</v>
      </c>
      <c r="L452" s="106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47" customFormat="1" ht="19.5" customHeight="1">
      <c r="A453" s="135" t="s">
        <v>799</v>
      </c>
      <c r="B453" s="78">
        <v>805</v>
      </c>
      <c r="C453" s="67" t="s">
        <v>589</v>
      </c>
      <c r="D453" s="67" t="s">
        <v>27</v>
      </c>
      <c r="E453" s="67" t="s">
        <v>561</v>
      </c>
      <c r="F453" s="67"/>
      <c r="G453" s="96">
        <f>G454+G456</f>
        <v>79701.9</v>
      </c>
      <c r="H453" s="99">
        <f>H454+H456</f>
        <v>0</v>
      </c>
      <c r="I453" s="99">
        <f t="shared" si="43"/>
        <v>79701.9</v>
      </c>
      <c r="J453" s="99">
        <f>J454+J456</f>
        <v>486.1999999999998</v>
      </c>
      <c r="K453" s="96">
        <f t="shared" si="39"/>
        <v>80188.09999999999</v>
      </c>
      <c r="L453" s="106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48" customFormat="1" ht="84.75" customHeight="1">
      <c r="A454" s="135" t="s">
        <v>528</v>
      </c>
      <c r="B454" s="78">
        <v>805</v>
      </c>
      <c r="C454" s="67" t="s">
        <v>589</v>
      </c>
      <c r="D454" s="67" t="s">
        <v>27</v>
      </c>
      <c r="E454" s="67" t="s">
        <v>372</v>
      </c>
      <c r="F454" s="67"/>
      <c r="G454" s="96">
        <f>SUM(G455)</f>
        <v>43799.9</v>
      </c>
      <c r="H454" s="99">
        <f>SUM(H455)</f>
        <v>0</v>
      </c>
      <c r="I454" s="99">
        <f t="shared" si="43"/>
        <v>43799.9</v>
      </c>
      <c r="J454" s="99">
        <f>SUM(J455)</f>
        <v>0</v>
      </c>
      <c r="K454" s="96">
        <f t="shared" si="39"/>
        <v>43799.9</v>
      </c>
      <c r="L454" s="106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47" customFormat="1" ht="18" customHeight="1">
      <c r="A455" s="136" t="s">
        <v>656</v>
      </c>
      <c r="B455" s="78">
        <v>805</v>
      </c>
      <c r="C455" s="67" t="s">
        <v>589</v>
      </c>
      <c r="D455" s="67" t="s">
        <v>27</v>
      </c>
      <c r="E455" s="67" t="s">
        <v>372</v>
      </c>
      <c r="F455" s="67" t="s">
        <v>117</v>
      </c>
      <c r="G455" s="96">
        <v>43799.9</v>
      </c>
      <c r="H455" s="104"/>
      <c r="I455" s="99">
        <f t="shared" si="43"/>
        <v>43799.9</v>
      </c>
      <c r="J455" s="104"/>
      <c r="K455" s="96">
        <f t="shared" si="39"/>
        <v>43799.9</v>
      </c>
      <c r="L455" s="106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12" s="38" customFormat="1" ht="33.75" customHeight="1">
      <c r="A456" s="136" t="s">
        <v>529</v>
      </c>
      <c r="B456" s="78">
        <v>805</v>
      </c>
      <c r="C456" s="67" t="s">
        <v>589</v>
      </c>
      <c r="D456" s="67" t="s">
        <v>27</v>
      </c>
      <c r="E456" s="67" t="s">
        <v>244</v>
      </c>
      <c r="F456" s="67"/>
      <c r="G456" s="96">
        <f>G457</f>
        <v>35902</v>
      </c>
      <c r="H456" s="99">
        <f>H457</f>
        <v>0</v>
      </c>
      <c r="I456" s="99">
        <f t="shared" si="43"/>
        <v>35902</v>
      </c>
      <c r="J456" s="99">
        <f>J457</f>
        <v>486.1999999999998</v>
      </c>
      <c r="K456" s="96">
        <f t="shared" si="39"/>
        <v>36388.2</v>
      </c>
      <c r="L456" s="106"/>
    </row>
    <row r="457" spans="1:12" s="38" customFormat="1" ht="18" customHeight="1">
      <c r="A457" s="136" t="s">
        <v>656</v>
      </c>
      <c r="B457" s="78">
        <v>805</v>
      </c>
      <c r="C457" s="67" t="s">
        <v>589</v>
      </c>
      <c r="D457" s="67" t="s">
        <v>27</v>
      </c>
      <c r="E457" s="67" t="s">
        <v>244</v>
      </c>
      <c r="F457" s="67" t="s">
        <v>117</v>
      </c>
      <c r="G457" s="96">
        <v>35902</v>
      </c>
      <c r="H457" s="104"/>
      <c r="I457" s="99">
        <f t="shared" si="43"/>
        <v>35902</v>
      </c>
      <c r="J457" s="104">
        <f>-4244.7+4730.9</f>
        <v>486.1999999999998</v>
      </c>
      <c r="K457" s="96">
        <f t="shared" si="39"/>
        <v>36388.2</v>
      </c>
      <c r="L457" s="106"/>
    </row>
    <row r="458" spans="1:26" ht="16.5">
      <c r="A458" s="136" t="s">
        <v>816</v>
      </c>
      <c r="B458" s="78">
        <v>805</v>
      </c>
      <c r="C458" s="67" t="s">
        <v>589</v>
      </c>
      <c r="D458" s="67" t="s">
        <v>28</v>
      </c>
      <c r="E458" s="67"/>
      <c r="F458" s="67"/>
      <c r="G458" s="96">
        <f>G459</f>
        <v>180</v>
      </c>
      <c r="H458" s="99">
        <f>H459</f>
        <v>0</v>
      </c>
      <c r="I458" s="99">
        <f t="shared" si="43"/>
        <v>180</v>
      </c>
      <c r="J458" s="99">
        <f>J459</f>
        <v>0</v>
      </c>
      <c r="K458" s="96">
        <f t="shared" si="39"/>
        <v>180</v>
      </c>
      <c r="L458" s="106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6.5">
      <c r="A459" s="146" t="s">
        <v>441</v>
      </c>
      <c r="B459" s="78">
        <v>805</v>
      </c>
      <c r="C459" s="67" t="s">
        <v>589</v>
      </c>
      <c r="D459" s="67" t="s">
        <v>28</v>
      </c>
      <c r="E459" s="67" t="s">
        <v>433</v>
      </c>
      <c r="F459" s="67"/>
      <c r="G459" s="96">
        <f>G461</f>
        <v>180</v>
      </c>
      <c r="H459" s="99">
        <f>H461</f>
        <v>0</v>
      </c>
      <c r="I459" s="99">
        <f t="shared" si="43"/>
        <v>180</v>
      </c>
      <c r="J459" s="99">
        <f>J461</f>
        <v>0</v>
      </c>
      <c r="K459" s="96">
        <f t="shared" si="39"/>
        <v>180</v>
      </c>
      <c r="L459" s="106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6.5">
      <c r="A460" s="146" t="s">
        <v>470</v>
      </c>
      <c r="B460" s="78">
        <v>805</v>
      </c>
      <c r="C460" s="67" t="s">
        <v>589</v>
      </c>
      <c r="D460" s="67" t="s">
        <v>28</v>
      </c>
      <c r="E460" s="67" t="s">
        <v>434</v>
      </c>
      <c r="F460" s="67"/>
      <c r="G460" s="96">
        <f>G461</f>
        <v>180</v>
      </c>
      <c r="H460" s="99">
        <f>H461</f>
        <v>0</v>
      </c>
      <c r="I460" s="99">
        <f t="shared" si="43"/>
        <v>180</v>
      </c>
      <c r="J460" s="99">
        <f>J461</f>
        <v>0</v>
      </c>
      <c r="K460" s="96">
        <f t="shared" si="39"/>
        <v>180</v>
      </c>
      <c r="L460" s="106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6.5">
      <c r="A461" s="120" t="s">
        <v>524</v>
      </c>
      <c r="B461" s="78">
        <v>805</v>
      </c>
      <c r="C461" s="67" t="s">
        <v>589</v>
      </c>
      <c r="D461" s="67" t="s">
        <v>28</v>
      </c>
      <c r="E461" s="67" t="s">
        <v>445</v>
      </c>
      <c r="F461" s="67"/>
      <c r="G461" s="96">
        <f>G462</f>
        <v>180</v>
      </c>
      <c r="H461" s="99">
        <f>H462</f>
        <v>0</v>
      </c>
      <c r="I461" s="99">
        <f t="shared" si="43"/>
        <v>180</v>
      </c>
      <c r="J461" s="99">
        <f>J462</f>
        <v>0</v>
      </c>
      <c r="K461" s="96">
        <f t="shared" si="39"/>
        <v>180</v>
      </c>
      <c r="L461" s="106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6.5">
      <c r="A462" s="120" t="s">
        <v>534</v>
      </c>
      <c r="B462" s="78">
        <v>805</v>
      </c>
      <c r="C462" s="67" t="s">
        <v>589</v>
      </c>
      <c r="D462" s="67" t="s">
        <v>28</v>
      </c>
      <c r="E462" s="67" t="s">
        <v>445</v>
      </c>
      <c r="F462" s="67" t="s">
        <v>104</v>
      </c>
      <c r="G462" s="96">
        <v>180</v>
      </c>
      <c r="H462" s="104"/>
      <c r="I462" s="99">
        <f t="shared" si="43"/>
        <v>180</v>
      </c>
      <c r="J462" s="104"/>
      <c r="K462" s="96">
        <f t="shared" si="39"/>
        <v>180</v>
      </c>
      <c r="L462" s="106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8" customHeight="1">
      <c r="A463" s="137" t="s">
        <v>160</v>
      </c>
      <c r="B463" s="78">
        <v>806</v>
      </c>
      <c r="C463" s="67"/>
      <c r="D463" s="67"/>
      <c r="E463" s="67"/>
      <c r="F463" s="67"/>
      <c r="G463" s="96">
        <f>SUM(G479,)</f>
        <v>361990.2</v>
      </c>
      <c r="H463" s="99">
        <f>SUM(H479,H465)</f>
        <v>19738.7</v>
      </c>
      <c r="I463" s="99">
        <f t="shared" si="43"/>
        <v>381728.9</v>
      </c>
      <c r="J463" s="99">
        <f>SUM(J479,J464)</f>
        <v>20967</v>
      </c>
      <c r="K463" s="96">
        <f t="shared" si="39"/>
        <v>402695.9</v>
      </c>
      <c r="L463" s="106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8" customHeight="1">
      <c r="A464" s="137" t="s">
        <v>537</v>
      </c>
      <c r="B464" s="78">
        <v>806</v>
      </c>
      <c r="C464" s="67" t="s">
        <v>27</v>
      </c>
      <c r="D464" s="67"/>
      <c r="E464" s="67"/>
      <c r="F464" s="67"/>
      <c r="G464" s="96">
        <f>G465</f>
        <v>0</v>
      </c>
      <c r="H464" s="99">
        <f>H465</f>
        <v>127.4</v>
      </c>
      <c r="I464" s="99">
        <f t="shared" si="43"/>
        <v>127.4</v>
      </c>
      <c r="J464" s="99">
        <f>J465</f>
        <v>381.5</v>
      </c>
      <c r="K464" s="96">
        <f t="shared" si="39"/>
        <v>508.9</v>
      </c>
      <c r="L464" s="106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8" customHeight="1">
      <c r="A465" s="120" t="s">
        <v>855</v>
      </c>
      <c r="B465" s="78">
        <v>806</v>
      </c>
      <c r="C465" s="67" t="s">
        <v>27</v>
      </c>
      <c r="D465" s="67" t="s">
        <v>24</v>
      </c>
      <c r="E465" s="67"/>
      <c r="F465" s="67"/>
      <c r="G465" s="96">
        <f>G466+G471</f>
        <v>0</v>
      </c>
      <c r="H465" s="99">
        <f>H466+H471</f>
        <v>127.4</v>
      </c>
      <c r="I465" s="99">
        <f t="shared" si="43"/>
        <v>127.4</v>
      </c>
      <c r="J465" s="99">
        <f>J466+J471</f>
        <v>381.5</v>
      </c>
      <c r="K465" s="96">
        <f t="shared" si="39"/>
        <v>508.9</v>
      </c>
      <c r="L465" s="106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8" customHeight="1">
      <c r="A466" s="120" t="s">
        <v>857</v>
      </c>
      <c r="B466" s="78">
        <v>806</v>
      </c>
      <c r="C466" s="67" t="s">
        <v>27</v>
      </c>
      <c r="D466" s="67" t="s">
        <v>24</v>
      </c>
      <c r="E466" s="67" t="s">
        <v>856</v>
      </c>
      <c r="F466" s="67"/>
      <c r="G466" s="96">
        <f>G467+G469</f>
        <v>0</v>
      </c>
      <c r="H466" s="99">
        <f>H467+H469</f>
        <v>127.4</v>
      </c>
      <c r="I466" s="99">
        <f t="shared" si="43"/>
        <v>127.4</v>
      </c>
      <c r="J466" s="99">
        <f>J467+J469</f>
        <v>362.4</v>
      </c>
      <c r="K466" s="96">
        <f aca="true" t="shared" si="45" ref="K466:K529">I466+J466</f>
        <v>489.79999999999995</v>
      </c>
      <c r="L466" s="106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34.5" customHeight="1">
      <c r="A467" s="120" t="s">
        <v>859</v>
      </c>
      <c r="B467" s="78">
        <v>806</v>
      </c>
      <c r="C467" s="67" t="s">
        <v>27</v>
      </c>
      <c r="D467" s="67" t="s">
        <v>24</v>
      </c>
      <c r="E467" s="67" t="s">
        <v>858</v>
      </c>
      <c r="F467" s="67"/>
      <c r="G467" s="96">
        <f>G468</f>
        <v>0</v>
      </c>
      <c r="H467" s="99">
        <f>H468</f>
        <v>127.4</v>
      </c>
      <c r="I467" s="99">
        <f t="shared" si="43"/>
        <v>127.4</v>
      </c>
      <c r="J467" s="99">
        <f>J468</f>
        <v>0</v>
      </c>
      <c r="K467" s="96">
        <f t="shared" si="45"/>
        <v>127.4</v>
      </c>
      <c r="L467" s="106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8" customHeight="1">
      <c r="A468" s="124" t="s">
        <v>63</v>
      </c>
      <c r="B468" s="78">
        <v>806</v>
      </c>
      <c r="C468" s="67" t="s">
        <v>27</v>
      </c>
      <c r="D468" s="67" t="s">
        <v>24</v>
      </c>
      <c r="E468" s="67" t="s">
        <v>858</v>
      </c>
      <c r="F468" s="67" t="s">
        <v>660</v>
      </c>
      <c r="G468" s="96"/>
      <c r="H468" s="99">
        <f>117.2+10.2</f>
        <v>127.4</v>
      </c>
      <c r="I468" s="99">
        <f t="shared" si="43"/>
        <v>127.4</v>
      </c>
      <c r="J468" s="99"/>
      <c r="K468" s="96">
        <f t="shared" si="45"/>
        <v>127.4</v>
      </c>
      <c r="L468" s="106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34.5" customHeight="1">
      <c r="A469" s="124" t="s">
        <v>58</v>
      </c>
      <c r="B469" s="78">
        <v>806</v>
      </c>
      <c r="C469" s="67" t="s">
        <v>27</v>
      </c>
      <c r="D469" s="67" t="s">
        <v>24</v>
      </c>
      <c r="E469" s="67" t="s">
        <v>680</v>
      </c>
      <c r="F469" s="67"/>
      <c r="G469" s="96">
        <f>SUM(G470)</f>
        <v>0</v>
      </c>
      <c r="H469" s="99">
        <f>SUM(H470)</f>
        <v>0</v>
      </c>
      <c r="I469" s="99">
        <f t="shared" si="43"/>
        <v>0</v>
      </c>
      <c r="J469" s="99">
        <f>J470</f>
        <v>362.4</v>
      </c>
      <c r="K469" s="96">
        <f t="shared" si="45"/>
        <v>362.4</v>
      </c>
      <c r="L469" s="106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8" customHeight="1">
      <c r="A470" s="124" t="s">
        <v>63</v>
      </c>
      <c r="B470" s="78">
        <v>806</v>
      </c>
      <c r="C470" s="67" t="s">
        <v>27</v>
      </c>
      <c r="D470" s="67" t="s">
        <v>24</v>
      </c>
      <c r="E470" s="67" t="s">
        <v>680</v>
      </c>
      <c r="F470" s="67" t="s">
        <v>660</v>
      </c>
      <c r="G470" s="96"/>
      <c r="H470" s="99"/>
      <c r="I470" s="99">
        <f t="shared" si="43"/>
        <v>0</v>
      </c>
      <c r="J470" s="99">
        <v>362.4</v>
      </c>
      <c r="K470" s="96">
        <f t="shared" si="45"/>
        <v>362.4</v>
      </c>
      <c r="L470" s="106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8" customHeight="1">
      <c r="A471" s="124" t="s">
        <v>367</v>
      </c>
      <c r="B471" s="78">
        <v>806</v>
      </c>
      <c r="C471" s="67" t="s">
        <v>27</v>
      </c>
      <c r="D471" s="67" t="s">
        <v>24</v>
      </c>
      <c r="E471" s="67" t="s">
        <v>471</v>
      </c>
      <c r="F471" s="67"/>
      <c r="G471" s="96">
        <f>SUM(G472)</f>
        <v>0</v>
      </c>
      <c r="H471" s="99">
        <f>SUM(H472)</f>
        <v>0</v>
      </c>
      <c r="I471" s="99">
        <f t="shared" si="43"/>
        <v>0</v>
      </c>
      <c r="J471" s="99">
        <f>J472</f>
        <v>19.1</v>
      </c>
      <c r="K471" s="96">
        <f t="shared" si="45"/>
        <v>19.1</v>
      </c>
      <c r="L471" s="106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57" customHeight="1">
      <c r="A472" s="124" t="s">
        <v>57</v>
      </c>
      <c r="B472" s="78">
        <v>806</v>
      </c>
      <c r="C472" s="67" t="s">
        <v>27</v>
      </c>
      <c r="D472" s="67" t="s">
        <v>24</v>
      </c>
      <c r="E472" s="67" t="s">
        <v>702</v>
      </c>
      <c r="F472" s="67"/>
      <c r="G472" s="96">
        <f>SUM(G473)</f>
        <v>0</v>
      </c>
      <c r="H472" s="99">
        <f>SUM(H473)</f>
        <v>0</v>
      </c>
      <c r="I472" s="99">
        <f t="shared" si="43"/>
        <v>0</v>
      </c>
      <c r="J472" s="99">
        <f>J473</f>
        <v>19.1</v>
      </c>
      <c r="K472" s="96">
        <f t="shared" si="45"/>
        <v>19.1</v>
      </c>
      <c r="L472" s="106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8" customHeight="1">
      <c r="A473" s="124" t="s">
        <v>63</v>
      </c>
      <c r="B473" s="78">
        <v>806</v>
      </c>
      <c r="C473" s="67" t="s">
        <v>27</v>
      </c>
      <c r="D473" s="67" t="s">
        <v>24</v>
      </c>
      <c r="E473" s="67" t="s">
        <v>702</v>
      </c>
      <c r="F473" s="67" t="s">
        <v>660</v>
      </c>
      <c r="G473" s="96"/>
      <c r="H473" s="99"/>
      <c r="I473" s="99">
        <f t="shared" si="43"/>
        <v>0</v>
      </c>
      <c r="J473" s="99">
        <v>19.1</v>
      </c>
      <c r="K473" s="96">
        <f t="shared" si="45"/>
        <v>19.1</v>
      </c>
      <c r="L473" s="106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8" customHeight="1" hidden="1">
      <c r="A474" s="136" t="s">
        <v>454</v>
      </c>
      <c r="B474" s="78">
        <v>806</v>
      </c>
      <c r="C474" s="67" t="s">
        <v>625</v>
      </c>
      <c r="D474" s="67"/>
      <c r="E474" s="67"/>
      <c r="F474" s="67"/>
      <c r="G474" s="96">
        <f aca="true" t="shared" si="46" ref="G474:H477">G475</f>
        <v>0</v>
      </c>
      <c r="H474" s="99">
        <f t="shared" si="46"/>
        <v>0</v>
      </c>
      <c r="I474" s="99">
        <f t="shared" si="43"/>
        <v>0</v>
      </c>
      <c r="J474" s="99"/>
      <c r="K474" s="96">
        <f t="shared" si="45"/>
        <v>0</v>
      </c>
      <c r="L474" s="106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8" customHeight="1" hidden="1">
      <c r="A475" s="136" t="s">
        <v>307</v>
      </c>
      <c r="B475" s="78">
        <v>806</v>
      </c>
      <c r="C475" s="67" t="s">
        <v>625</v>
      </c>
      <c r="D475" s="67" t="s">
        <v>625</v>
      </c>
      <c r="E475" s="67"/>
      <c r="F475" s="67"/>
      <c r="G475" s="96">
        <f t="shared" si="46"/>
        <v>0</v>
      </c>
      <c r="H475" s="99">
        <f t="shared" si="46"/>
        <v>0</v>
      </c>
      <c r="I475" s="99">
        <f t="shared" si="43"/>
        <v>0</v>
      </c>
      <c r="J475" s="99"/>
      <c r="K475" s="96">
        <f t="shared" si="45"/>
        <v>0</v>
      </c>
      <c r="L475" s="106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8" customHeight="1" hidden="1">
      <c r="A476" s="124" t="s">
        <v>286</v>
      </c>
      <c r="B476" s="78">
        <v>806</v>
      </c>
      <c r="C476" s="67" t="s">
        <v>625</v>
      </c>
      <c r="D476" s="67" t="s">
        <v>625</v>
      </c>
      <c r="E476" s="67" t="s">
        <v>591</v>
      </c>
      <c r="F476" s="67"/>
      <c r="G476" s="96">
        <f t="shared" si="46"/>
        <v>0</v>
      </c>
      <c r="H476" s="99">
        <f t="shared" si="46"/>
        <v>0</v>
      </c>
      <c r="I476" s="99">
        <f t="shared" si="43"/>
        <v>0</v>
      </c>
      <c r="J476" s="99"/>
      <c r="K476" s="96">
        <f t="shared" si="45"/>
        <v>0</v>
      </c>
      <c r="L476" s="106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8" customHeight="1" hidden="1">
      <c r="A477" s="146" t="s">
        <v>393</v>
      </c>
      <c r="B477" s="78">
        <v>806</v>
      </c>
      <c r="C477" s="67" t="s">
        <v>625</v>
      </c>
      <c r="D477" s="67" t="s">
        <v>625</v>
      </c>
      <c r="E477" s="67" t="s">
        <v>633</v>
      </c>
      <c r="F477" s="67"/>
      <c r="G477" s="96">
        <f t="shared" si="46"/>
        <v>0</v>
      </c>
      <c r="H477" s="99">
        <f t="shared" si="46"/>
        <v>0</v>
      </c>
      <c r="I477" s="99">
        <f t="shared" si="43"/>
        <v>0</v>
      </c>
      <c r="J477" s="99"/>
      <c r="K477" s="96">
        <f t="shared" si="45"/>
        <v>0</v>
      </c>
      <c r="L477" s="106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8" customHeight="1" hidden="1">
      <c r="A478" s="136" t="s">
        <v>653</v>
      </c>
      <c r="B478" s="78">
        <v>806</v>
      </c>
      <c r="C478" s="67" t="s">
        <v>625</v>
      </c>
      <c r="D478" s="67" t="s">
        <v>625</v>
      </c>
      <c r="E478" s="67" t="s">
        <v>633</v>
      </c>
      <c r="F478" s="67" t="s">
        <v>652</v>
      </c>
      <c r="G478" s="96"/>
      <c r="H478" s="99"/>
      <c r="I478" s="99">
        <f t="shared" si="43"/>
        <v>0</v>
      </c>
      <c r="J478" s="99"/>
      <c r="K478" s="96">
        <f t="shared" si="45"/>
        <v>0</v>
      </c>
      <c r="L478" s="106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8.75" customHeight="1">
      <c r="A479" s="136" t="s">
        <v>291</v>
      </c>
      <c r="B479" s="78">
        <v>806</v>
      </c>
      <c r="C479" s="67" t="s">
        <v>106</v>
      </c>
      <c r="D479" s="67"/>
      <c r="E479" s="67"/>
      <c r="F479" s="67"/>
      <c r="G479" s="96">
        <f>SUM(G480,G491,G505,G516,G527,G533)</f>
        <v>361990.2</v>
      </c>
      <c r="H479" s="99">
        <f>SUM(H480,H491,H505,H516,H527,H533)</f>
        <v>19611.3</v>
      </c>
      <c r="I479" s="99">
        <f t="shared" si="43"/>
        <v>381601.5</v>
      </c>
      <c r="J479" s="99">
        <f>SUM(J480,J491,J505,J516,J527,J533)</f>
        <v>20585.5</v>
      </c>
      <c r="K479" s="96">
        <f t="shared" si="45"/>
        <v>402187</v>
      </c>
      <c r="L479" s="106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8.75" customHeight="1">
      <c r="A480" s="136" t="s">
        <v>658</v>
      </c>
      <c r="B480" s="78">
        <v>806</v>
      </c>
      <c r="C480" s="67" t="s">
        <v>106</v>
      </c>
      <c r="D480" s="67" t="s">
        <v>24</v>
      </c>
      <c r="E480" s="67"/>
      <c r="F480" s="67"/>
      <c r="G480" s="96">
        <f>SUM(G481,G486)</f>
        <v>147065.7</v>
      </c>
      <c r="H480" s="99">
        <f>SUM(H481,H486)</f>
        <v>1171.8</v>
      </c>
      <c r="I480" s="99">
        <f t="shared" si="43"/>
        <v>148237.5</v>
      </c>
      <c r="J480" s="99">
        <f>SUM(J481,J486)</f>
        <v>6482.8</v>
      </c>
      <c r="K480" s="96">
        <f t="shared" si="45"/>
        <v>154720.3</v>
      </c>
      <c r="L480" s="106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8" customHeight="1">
      <c r="A481" s="135" t="s">
        <v>792</v>
      </c>
      <c r="B481" s="78">
        <v>806</v>
      </c>
      <c r="C481" s="67" t="s">
        <v>106</v>
      </c>
      <c r="D481" s="67" t="s">
        <v>24</v>
      </c>
      <c r="E481" s="67" t="s">
        <v>210</v>
      </c>
      <c r="F481" s="67"/>
      <c r="G481" s="96">
        <f>SUM(G482,G484)</f>
        <v>137899.1</v>
      </c>
      <c r="H481" s="99">
        <f>SUM(H482,H484)</f>
        <v>1171.8</v>
      </c>
      <c r="I481" s="99">
        <f t="shared" si="43"/>
        <v>139070.9</v>
      </c>
      <c r="J481" s="99">
        <f>SUM(J482,J484)</f>
        <v>6373</v>
      </c>
      <c r="K481" s="96">
        <f t="shared" si="45"/>
        <v>145443.9</v>
      </c>
      <c r="L481" s="106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8" customHeight="1">
      <c r="A482" s="136" t="s">
        <v>677</v>
      </c>
      <c r="B482" s="78">
        <v>806</v>
      </c>
      <c r="C482" s="67" t="s">
        <v>106</v>
      </c>
      <c r="D482" s="67" t="s">
        <v>24</v>
      </c>
      <c r="E482" s="67" t="s">
        <v>598</v>
      </c>
      <c r="F482" s="67"/>
      <c r="G482" s="96">
        <f>SUM(G483)</f>
        <v>3471.5</v>
      </c>
      <c r="H482" s="99">
        <f>SUM(H483)</f>
        <v>0</v>
      </c>
      <c r="I482" s="99">
        <f t="shared" si="43"/>
        <v>3471.5</v>
      </c>
      <c r="J482" s="99">
        <f>SUM(J483)</f>
        <v>0</v>
      </c>
      <c r="K482" s="96">
        <f t="shared" si="45"/>
        <v>3471.5</v>
      </c>
      <c r="L482" s="106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7.25" customHeight="1">
      <c r="A483" s="124" t="s">
        <v>63</v>
      </c>
      <c r="B483" s="78">
        <v>806</v>
      </c>
      <c r="C483" s="67" t="s">
        <v>106</v>
      </c>
      <c r="D483" s="67" t="s">
        <v>24</v>
      </c>
      <c r="E483" s="67" t="s">
        <v>598</v>
      </c>
      <c r="F483" s="67" t="s">
        <v>660</v>
      </c>
      <c r="G483" s="96">
        <v>3471.5</v>
      </c>
      <c r="H483" s="104"/>
      <c r="I483" s="99">
        <f t="shared" si="43"/>
        <v>3471.5</v>
      </c>
      <c r="J483" s="104"/>
      <c r="K483" s="96">
        <f t="shared" si="45"/>
        <v>3471.5</v>
      </c>
      <c r="L483" s="106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8" customHeight="1">
      <c r="A484" s="136" t="s">
        <v>655</v>
      </c>
      <c r="B484" s="78">
        <v>806</v>
      </c>
      <c r="C484" s="67" t="s">
        <v>106</v>
      </c>
      <c r="D484" s="67" t="s">
        <v>24</v>
      </c>
      <c r="E484" s="67" t="s">
        <v>211</v>
      </c>
      <c r="F484" s="67"/>
      <c r="G484" s="96">
        <f>SUM(G485)</f>
        <v>134427.6</v>
      </c>
      <c r="H484" s="99">
        <f>SUM(H485)</f>
        <v>1171.8</v>
      </c>
      <c r="I484" s="99">
        <f t="shared" si="43"/>
        <v>135599.4</v>
      </c>
      <c r="J484" s="99">
        <f>SUM(J485)</f>
        <v>6373</v>
      </c>
      <c r="K484" s="96">
        <f t="shared" si="45"/>
        <v>141972.4</v>
      </c>
      <c r="L484" s="106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8.75" customHeight="1">
      <c r="A485" s="124" t="s">
        <v>63</v>
      </c>
      <c r="B485" s="78">
        <v>806</v>
      </c>
      <c r="C485" s="67" t="s">
        <v>106</v>
      </c>
      <c r="D485" s="67" t="s">
        <v>24</v>
      </c>
      <c r="E485" s="67" t="s">
        <v>211</v>
      </c>
      <c r="F485" s="67" t="s">
        <v>660</v>
      </c>
      <c r="G485" s="96">
        <v>134427.6</v>
      </c>
      <c r="H485" s="104">
        <v>1171.8</v>
      </c>
      <c r="I485" s="99">
        <f t="shared" si="43"/>
        <v>135599.4</v>
      </c>
      <c r="J485" s="104">
        <f>912.6+971.7+2008.5+2480.2</f>
        <v>6373</v>
      </c>
      <c r="K485" s="96">
        <f t="shared" si="45"/>
        <v>141972.4</v>
      </c>
      <c r="L485" s="106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6.5">
      <c r="A486" s="136" t="s">
        <v>793</v>
      </c>
      <c r="B486" s="78">
        <v>806</v>
      </c>
      <c r="C486" s="67" t="s">
        <v>106</v>
      </c>
      <c r="D486" s="67" t="s">
        <v>24</v>
      </c>
      <c r="E486" s="67" t="s">
        <v>212</v>
      </c>
      <c r="F486" s="67"/>
      <c r="G486" s="96">
        <f>SUM(G487,G489)</f>
        <v>9166.599999999999</v>
      </c>
      <c r="H486" s="99">
        <f>SUM(H487,H489)</f>
        <v>0</v>
      </c>
      <c r="I486" s="99">
        <f t="shared" si="43"/>
        <v>9166.599999999999</v>
      </c>
      <c r="J486" s="99">
        <f>SUM(J487,J489)</f>
        <v>109.8</v>
      </c>
      <c r="K486" s="96">
        <f t="shared" si="45"/>
        <v>9276.399999999998</v>
      </c>
      <c r="L486" s="106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20.25" customHeight="1">
      <c r="A487" s="136" t="s">
        <v>677</v>
      </c>
      <c r="B487" s="78">
        <v>806</v>
      </c>
      <c r="C487" s="67" t="s">
        <v>106</v>
      </c>
      <c r="D487" s="67" t="s">
        <v>24</v>
      </c>
      <c r="E487" s="67" t="s">
        <v>31</v>
      </c>
      <c r="F487" s="67"/>
      <c r="G487" s="96">
        <f>SUM(G488)</f>
        <v>421.8</v>
      </c>
      <c r="H487" s="99">
        <f>SUM(H488)</f>
        <v>0</v>
      </c>
      <c r="I487" s="99">
        <f t="shared" si="43"/>
        <v>421.8</v>
      </c>
      <c r="J487" s="99">
        <f>SUM(J488)</f>
        <v>0</v>
      </c>
      <c r="K487" s="96">
        <f t="shared" si="45"/>
        <v>421.8</v>
      </c>
      <c r="L487" s="106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8.75" customHeight="1">
      <c r="A488" s="124" t="s">
        <v>63</v>
      </c>
      <c r="B488" s="78">
        <v>806</v>
      </c>
      <c r="C488" s="67" t="s">
        <v>106</v>
      </c>
      <c r="D488" s="67" t="s">
        <v>24</v>
      </c>
      <c r="E488" s="67" t="s">
        <v>31</v>
      </c>
      <c r="F488" s="67" t="s">
        <v>660</v>
      </c>
      <c r="G488" s="96">
        <v>421.8</v>
      </c>
      <c r="H488" s="104"/>
      <c r="I488" s="99">
        <f t="shared" si="43"/>
        <v>421.8</v>
      </c>
      <c r="J488" s="104"/>
      <c r="K488" s="96">
        <f t="shared" si="45"/>
        <v>421.8</v>
      </c>
      <c r="L488" s="106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20.25" customHeight="1">
      <c r="A489" s="136" t="s">
        <v>655</v>
      </c>
      <c r="B489" s="78">
        <v>806</v>
      </c>
      <c r="C489" s="67" t="s">
        <v>106</v>
      </c>
      <c r="D489" s="67" t="s">
        <v>24</v>
      </c>
      <c r="E489" s="67" t="s">
        <v>213</v>
      </c>
      <c r="F489" s="67"/>
      <c r="G489" s="96">
        <f>SUM(G490)</f>
        <v>8744.8</v>
      </c>
      <c r="H489" s="99">
        <f>SUM(H490)</f>
        <v>0</v>
      </c>
      <c r="I489" s="99">
        <f t="shared" si="43"/>
        <v>8744.8</v>
      </c>
      <c r="J489" s="99">
        <f>SUM(J490)</f>
        <v>109.8</v>
      </c>
      <c r="K489" s="96">
        <f t="shared" si="45"/>
        <v>8854.599999999999</v>
      </c>
      <c r="L489" s="106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9.5" customHeight="1">
      <c r="A490" s="124" t="s">
        <v>63</v>
      </c>
      <c r="B490" s="78">
        <v>806</v>
      </c>
      <c r="C490" s="67" t="s">
        <v>106</v>
      </c>
      <c r="D490" s="67" t="s">
        <v>24</v>
      </c>
      <c r="E490" s="67" t="s">
        <v>213</v>
      </c>
      <c r="F490" s="67" t="s">
        <v>660</v>
      </c>
      <c r="G490" s="96">
        <v>8744.8</v>
      </c>
      <c r="H490" s="104"/>
      <c r="I490" s="99">
        <f t="shared" si="43"/>
        <v>8744.8</v>
      </c>
      <c r="J490" s="104">
        <f>17+92.8</f>
        <v>109.8</v>
      </c>
      <c r="K490" s="96">
        <f t="shared" si="45"/>
        <v>8854.599999999999</v>
      </c>
      <c r="L490" s="106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20.25" customHeight="1">
      <c r="A491" s="136" t="s">
        <v>794</v>
      </c>
      <c r="B491" s="78">
        <v>806</v>
      </c>
      <c r="C491" s="67" t="s">
        <v>106</v>
      </c>
      <c r="D491" s="67" t="s">
        <v>25</v>
      </c>
      <c r="E491" s="67"/>
      <c r="F491" s="67"/>
      <c r="G491" s="96">
        <f>SUM(G492,G497)</f>
        <v>46616.6</v>
      </c>
      <c r="H491" s="99">
        <f>SUM(H492,H497)</f>
        <v>441.6</v>
      </c>
      <c r="I491" s="99">
        <f t="shared" si="43"/>
        <v>47058.2</v>
      </c>
      <c r="J491" s="99">
        <f>SUM(J492,J497)</f>
        <v>2172.5</v>
      </c>
      <c r="K491" s="96">
        <f t="shared" si="45"/>
        <v>49230.7</v>
      </c>
      <c r="L491" s="106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8" customHeight="1">
      <c r="A492" s="135" t="s">
        <v>792</v>
      </c>
      <c r="B492" s="78">
        <v>806</v>
      </c>
      <c r="C492" s="67" t="s">
        <v>106</v>
      </c>
      <c r="D492" s="67" t="s">
        <v>25</v>
      </c>
      <c r="E492" s="67" t="s">
        <v>210</v>
      </c>
      <c r="F492" s="67"/>
      <c r="G492" s="96">
        <f>SUM(G493,G495)</f>
        <v>14956.7</v>
      </c>
      <c r="H492" s="99">
        <f>SUM(H493,H495)</f>
        <v>184.3</v>
      </c>
      <c r="I492" s="99">
        <f t="shared" si="43"/>
        <v>15141</v>
      </c>
      <c r="J492" s="99">
        <f>SUM(J493,J495)</f>
        <v>529.1999999999999</v>
      </c>
      <c r="K492" s="96">
        <f t="shared" si="45"/>
        <v>15670.2</v>
      </c>
      <c r="L492" s="106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8" customHeight="1">
      <c r="A493" s="136" t="s">
        <v>677</v>
      </c>
      <c r="B493" s="78">
        <v>806</v>
      </c>
      <c r="C493" s="67" t="s">
        <v>106</v>
      </c>
      <c r="D493" s="67" t="s">
        <v>25</v>
      </c>
      <c r="E493" s="67" t="s">
        <v>598</v>
      </c>
      <c r="F493" s="67"/>
      <c r="G493" s="96">
        <f>SUM(G494)</f>
        <v>401.7</v>
      </c>
      <c r="H493" s="99">
        <f>SUM(H494)</f>
        <v>0</v>
      </c>
      <c r="I493" s="99">
        <f t="shared" si="43"/>
        <v>401.7</v>
      </c>
      <c r="J493" s="99">
        <f>SUM(J494)</f>
        <v>0</v>
      </c>
      <c r="K493" s="96">
        <f t="shared" si="45"/>
        <v>401.7</v>
      </c>
      <c r="L493" s="106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8.75" customHeight="1">
      <c r="A494" s="124" t="s">
        <v>63</v>
      </c>
      <c r="B494" s="78">
        <v>806</v>
      </c>
      <c r="C494" s="67" t="s">
        <v>106</v>
      </c>
      <c r="D494" s="67" t="s">
        <v>25</v>
      </c>
      <c r="E494" s="67" t="s">
        <v>598</v>
      </c>
      <c r="F494" s="67" t="s">
        <v>660</v>
      </c>
      <c r="G494" s="96">
        <v>401.7</v>
      </c>
      <c r="H494" s="104"/>
      <c r="I494" s="99">
        <f t="shared" si="43"/>
        <v>401.7</v>
      </c>
      <c r="J494" s="104"/>
      <c r="K494" s="96">
        <f t="shared" si="45"/>
        <v>401.7</v>
      </c>
      <c r="L494" s="106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8.75" customHeight="1">
      <c r="A495" s="136" t="s">
        <v>655</v>
      </c>
      <c r="B495" s="78">
        <v>806</v>
      </c>
      <c r="C495" s="67" t="s">
        <v>106</v>
      </c>
      <c r="D495" s="67" t="s">
        <v>25</v>
      </c>
      <c r="E495" s="67" t="s">
        <v>211</v>
      </c>
      <c r="F495" s="67"/>
      <c r="G495" s="96">
        <f>SUM(G496)</f>
        <v>14555</v>
      </c>
      <c r="H495" s="99">
        <f>SUM(H496)</f>
        <v>184.3</v>
      </c>
      <c r="I495" s="99">
        <f t="shared" si="43"/>
        <v>14739.3</v>
      </c>
      <c r="J495" s="99">
        <f>SUM(J496)</f>
        <v>529.1999999999999</v>
      </c>
      <c r="K495" s="96">
        <f t="shared" si="45"/>
        <v>15268.5</v>
      </c>
      <c r="L495" s="106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9.5" customHeight="1">
      <c r="A496" s="124" t="s">
        <v>63</v>
      </c>
      <c r="B496" s="78">
        <v>806</v>
      </c>
      <c r="C496" s="67" t="s">
        <v>106</v>
      </c>
      <c r="D496" s="67" t="s">
        <v>25</v>
      </c>
      <c r="E496" s="67" t="s">
        <v>211</v>
      </c>
      <c r="F496" s="67" t="s">
        <v>660</v>
      </c>
      <c r="G496" s="96">
        <v>14555</v>
      </c>
      <c r="H496" s="104">
        <v>184.3</v>
      </c>
      <c r="I496" s="99">
        <f t="shared" si="43"/>
        <v>14739.3</v>
      </c>
      <c r="J496" s="104">
        <f>403.3+590-464.1</f>
        <v>529.1999999999999</v>
      </c>
      <c r="K496" s="96">
        <f t="shared" si="45"/>
        <v>15268.5</v>
      </c>
      <c r="L496" s="106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9.5" customHeight="1">
      <c r="A497" s="136" t="s">
        <v>795</v>
      </c>
      <c r="B497" s="78">
        <v>806</v>
      </c>
      <c r="C497" s="67" t="s">
        <v>106</v>
      </c>
      <c r="D497" s="67" t="s">
        <v>25</v>
      </c>
      <c r="E497" s="67" t="s">
        <v>214</v>
      </c>
      <c r="F497" s="67"/>
      <c r="G497" s="96">
        <f>SUM(G498,G500)</f>
        <v>31659.899999999998</v>
      </c>
      <c r="H497" s="104">
        <f>H498+H500</f>
        <v>257.3</v>
      </c>
      <c r="I497" s="99">
        <f t="shared" si="43"/>
        <v>31917.199999999997</v>
      </c>
      <c r="J497" s="104">
        <f>J498+J500</f>
        <v>1643.3</v>
      </c>
      <c r="K497" s="96">
        <f t="shared" si="45"/>
        <v>33560.5</v>
      </c>
      <c r="L497" s="106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8" customHeight="1">
      <c r="A498" s="136" t="s">
        <v>677</v>
      </c>
      <c r="B498" s="78">
        <v>806</v>
      </c>
      <c r="C498" s="67" t="s">
        <v>106</v>
      </c>
      <c r="D498" s="67" t="s">
        <v>25</v>
      </c>
      <c r="E498" s="67" t="s">
        <v>599</v>
      </c>
      <c r="F498" s="67"/>
      <c r="G498" s="96">
        <f>SUM(G499)</f>
        <v>826.6</v>
      </c>
      <c r="H498" s="104"/>
      <c r="I498" s="99">
        <f t="shared" si="43"/>
        <v>826.6</v>
      </c>
      <c r="J498" s="104"/>
      <c r="K498" s="96">
        <f t="shared" si="45"/>
        <v>826.6</v>
      </c>
      <c r="L498" s="106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20.25" customHeight="1">
      <c r="A499" s="124" t="s">
        <v>63</v>
      </c>
      <c r="B499" s="78">
        <v>806</v>
      </c>
      <c r="C499" s="67" t="s">
        <v>106</v>
      </c>
      <c r="D499" s="67" t="s">
        <v>25</v>
      </c>
      <c r="E499" s="67" t="s">
        <v>599</v>
      </c>
      <c r="F499" s="67" t="s">
        <v>660</v>
      </c>
      <c r="G499" s="96">
        <v>826.6</v>
      </c>
      <c r="H499" s="104"/>
      <c r="I499" s="99">
        <f t="shared" si="43"/>
        <v>826.6</v>
      </c>
      <c r="J499" s="104"/>
      <c r="K499" s="96">
        <f t="shared" si="45"/>
        <v>826.6</v>
      </c>
      <c r="L499" s="106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20.25" customHeight="1">
      <c r="A500" s="136" t="s">
        <v>655</v>
      </c>
      <c r="B500" s="78">
        <v>806</v>
      </c>
      <c r="C500" s="67" t="s">
        <v>106</v>
      </c>
      <c r="D500" s="67" t="s">
        <v>25</v>
      </c>
      <c r="E500" s="67" t="s">
        <v>215</v>
      </c>
      <c r="F500" s="67"/>
      <c r="G500" s="96">
        <f>SUM(G501)</f>
        <v>30833.3</v>
      </c>
      <c r="H500" s="99">
        <f>SUM(H501)</f>
        <v>257.3</v>
      </c>
      <c r="I500" s="99">
        <f t="shared" si="43"/>
        <v>31090.6</v>
      </c>
      <c r="J500" s="99">
        <f>SUM(J501)</f>
        <v>1643.3</v>
      </c>
      <c r="K500" s="96">
        <f t="shared" si="45"/>
        <v>32733.899999999998</v>
      </c>
      <c r="L500" s="106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9.5" customHeight="1">
      <c r="A501" s="124" t="s">
        <v>63</v>
      </c>
      <c r="B501" s="78">
        <v>806</v>
      </c>
      <c r="C501" s="67" t="s">
        <v>106</v>
      </c>
      <c r="D501" s="67" t="s">
        <v>25</v>
      </c>
      <c r="E501" s="67" t="s">
        <v>215</v>
      </c>
      <c r="F501" s="67" t="s">
        <v>660</v>
      </c>
      <c r="G501" s="96">
        <v>30833.3</v>
      </c>
      <c r="H501" s="104">
        <v>257.3</v>
      </c>
      <c r="I501" s="99">
        <f t="shared" si="43"/>
        <v>31090.6</v>
      </c>
      <c r="J501" s="104">
        <f>620.9+138.5+721.9+192-30</f>
        <v>1643.3</v>
      </c>
      <c r="K501" s="96">
        <f t="shared" si="45"/>
        <v>32733.899999999998</v>
      </c>
      <c r="L501" s="106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9.5" customHeight="1" hidden="1">
      <c r="A502" s="135" t="s">
        <v>192</v>
      </c>
      <c r="B502" s="78">
        <v>806</v>
      </c>
      <c r="C502" s="67" t="s">
        <v>106</v>
      </c>
      <c r="D502" s="67" t="s">
        <v>25</v>
      </c>
      <c r="E502" s="67" t="s">
        <v>561</v>
      </c>
      <c r="F502" s="67"/>
      <c r="G502" s="96">
        <f>SUM(G503)</f>
        <v>0</v>
      </c>
      <c r="H502" s="104"/>
      <c r="I502" s="99">
        <f t="shared" si="43"/>
        <v>0</v>
      </c>
      <c r="J502" s="104"/>
      <c r="K502" s="96">
        <f t="shared" si="45"/>
        <v>0</v>
      </c>
      <c r="L502" s="106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69.75" customHeight="1" hidden="1">
      <c r="A503" s="135" t="s">
        <v>10</v>
      </c>
      <c r="B503" s="78">
        <v>806</v>
      </c>
      <c r="C503" s="67" t="s">
        <v>106</v>
      </c>
      <c r="D503" s="67" t="s">
        <v>25</v>
      </c>
      <c r="E503" s="67" t="s">
        <v>142</v>
      </c>
      <c r="F503" s="67"/>
      <c r="G503" s="96">
        <f>SUM(G504)</f>
        <v>0</v>
      </c>
      <c r="H503" s="104"/>
      <c r="I503" s="99">
        <f t="shared" si="43"/>
        <v>0</v>
      </c>
      <c r="J503" s="104"/>
      <c r="K503" s="96">
        <f t="shared" si="45"/>
        <v>0</v>
      </c>
      <c r="L503" s="106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6.5" hidden="1">
      <c r="A504" s="124" t="s">
        <v>63</v>
      </c>
      <c r="B504" s="78">
        <v>806</v>
      </c>
      <c r="C504" s="67" t="s">
        <v>106</v>
      </c>
      <c r="D504" s="67" t="s">
        <v>25</v>
      </c>
      <c r="E504" s="67" t="s">
        <v>142</v>
      </c>
      <c r="F504" s="67" t="s">
        <v>660</v>
      </c>
      <c r="G504" s="96"/>
      <c r="H504" s="104"/>
      <c r="I504" s="99">
        <f t="shared" si="43"/>
        <v>0</v>
      </c>
      <c r="J504" s="104"/>
      <c r="K504" s="96">
        <f t="shared" si="45"/>
        <v>0</v>
      </c>
      <c r="L504" s="106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6.5">
      <c r="A505" s="136" t="s">
        <v>796</v>
      </c>
      <c r="B505" s="78">
        <v>806</v>
      </c>
      <c r="C505" s="67" t="s">
        <v>106</v>
      </c>
      <c r="D505" s="67" t="s">
        <v>26</v>
      </c>
      <c r="E505" s="67"/>
      <c r="F505" s="67"/>
      <c r="G505" s="96">
        <f>G506+G511</f>
        <v>2882.1</v>
      </c>
      <c r="H505" s="99">
        <f>H506+H511</f>
        <v>78.9</v>
      </c>
      <c r="I505" s="99">
        <f t="shared" si="43"/>
        <v>2961</v>
      </c>
      <c r="J505" s="99">
        <f>J506+J511</f>
        <v>521.7</v>
      </c>
      <c r="K505" s="96">
        <f t="shared" si="45"/>
        <v>3482.7</v>
      </c>
      <c r="L505" s="106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6.5">
      <c r="A506" s="135" t="s">
        <v>531</v>
      </c>
      <c r="B506" s="78">
        <v>806</v>
      </c>
      <c r="C506" s="67" t="s">
        <v>106</v>
      </c>
      <c r="D506" s="67" t="s">
        <v>26</v>
      </c>
      <c r="E506" s="67" t="s">
        <v>210</v>
      </c>
      <c r="F506" s="67"/>
      <c r="G506" s="96">
        <f>SUM(G507,G509)</f>
        <v>2552.6</v>
      </c>
      <c r="H506" s="99">
        <f>SUM(H507,H509)</f>
        <v>78.9</v>
      </c>
      <c r="I506" s="99">
        <f t="shared" si="43"/>
        <v>2631.5</v>
      </c>
      <c r="J506" s="99">
        <f>SUM(J507,J509)</f>
        <v>521.7</v>
      </c>
      <c r="K506" s="96">
        <f t="shared" si="45"/>
        <v>3153.2</v>
      </c>
      <c r="L506" s="106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8.75" customHeight="1">
      <c r="A507" s="136" t="s">
        <v>677</v>
      </c>
      <c r="B507" s="78">
        <v>806</v>
      </c>
      <c r="C507" s="67" t="s">
        <v>106</v>
      </c>
      <c r="D507" s="67" t="s">
        <v>26</v>
      </c>
      <c r="E507" s="67" t="s">
        <v>598</v>
      </c>
      <c r="F507" s="67"/>
      <c r="G507" s="96">
        <f>SUM(G508)</f>
        <v>49.5</v>
      </c>
      <c r="H507" s="99">
        <f>SUM(H508)</f>
        <v>0</v>
      </c>
      <c r="I507" s="99">
        <f t="shared" si="43"/>
        <v>49.5</v>
      </c>
      <c r="J507" s="99">
        <f>SUM(J508)</f>
        <v>0</v>
      </c>
      <c r="K507" s="96">
        <f t="shared" si="45"/>
        <v>49.5</v>
      </c>
      <c r="L507" s="106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8.75" customHeight="1">
      <c r="A508" s="124" t="s">
        <v>63</v>
      </c>
      <c r="B508" s="78">
        <v>806</v>
      </c>
      <c r="C508" s="67" t="s">
        <v>106</v>
      </c>
      <c r="D508" s="67" t="s">
        <v>26</v>
      </c>
      <c r="E508" s="67" t="s">
        <v>598</v>
      </c>
      <c r="F508" s="67" t="s">
        <v>660</v>
      </c>
      <c r="G508" s="96">
        <v>49.5</v>
      </c>
      <c r="H508" s="104"/>
      <c r="I508" s="99">
        <f t="shared" si="43"/>
        <v>49.5</v>
      </c>
      <c r="J508" s="104"/>
      <c r="K508" s="96">
        <f t="shared" si="45"/>
        <v>49.5</v>
      </c>
      <c r="L508" s="106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8.75" customHeight="1">
      <c r="A509" s="136" t="s">
        <v>655</v>
      </c>
      <c r="B509" s="78">
        <v>806</v>
      </c>
      <c r="C509" s="67" t="s">
        <v>106</v>
      </c>
      <c r="D509" s="67" t="s">
        <v>26</v>
      </c>
      <c r="E509" s="67" t="s">
        <v>211</v>
      </c>
      <c r="F509" s="67"/>
      <c r="G509" s="96">
        <f>SUM(G510)</f>
        <v>2503.1</v>
      </c>
      <c r="H509" s="99">
        <f>SUM(H510)</f>
        <v>78.9</v>
      </c>
      <c r="I509" s="99">
        <f t="shared" si="43"/>
        <v>2582</v>
      </c>
      <c r="J509" s="99">
        <f>SUM(J510)</f>
        <v>521.7</v>
      </c>
      <c r="K509" s="96">
        <f t="shared" si="45"/>
        <v>3103.7</v>
      </c>
      <c r="L509" s="106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8" customHeight="1">
      <c r="A510" s="124" t="s">
        <v>63</v>
      </c>
      <c r="B510" s="78">
        <v>806</v>
      </c>
      <c r="C510" s="67" t="s">
        <v>106</v>
      </c>
      <c r="D510" s="67" t="s">
        <v>26</v>
      </c>
      <c r="E510" s="67" t="s">
        <v>211</v>
      </c>
      <c r="F510" s="67" t="s">
        <v>660</v>
      </c>
      <c r="G510" s="96">
        <v>2503.1</v>
      </c>
      <c r="H510" s="104">
        <v>78.9</v>
      </c>
      <c r="I510" s="99">
        <f aca="true" t="shared" si="47" ref="I510:I577">H510+G510</f>
        <v>2582</v>
      </c>
      <c r="J510" s="104">
        <f>57.6+464.1</f>
        <v>521.7</v>
      </c>
      <c r="K510" s="96">
        <f t="shared" si="45"/>
        <v>3103.7</v>
      </c>
      <c r="L510" s="106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8" customHeight="1">
      <c r="A511" s="136" t="s">
        <v>795</v>
      </c>
      <c r="B511" s="78">
        <v>806</v>
      </c>
      <c r="C511" s="67" t="s">
        <v>106</v>
      </c>
      <c r="D511" s="67" t="s">
        <v>26</v>
      </c>
      <c r="E511" s="67" t="s">
        <v>214</v>
      </c>
      <c r="F511" s="67"/>
      <c r="G511" s="96">
        <f>G512+G514</f>
        <v>329.5</v>
      </c>
      <c r="H511" s="99">
        <f>H512+H514</f>
        <v>0</v>
      </c>
      <c r="I511" s="99">
        <f t="shared" si="47"/>
        <v>329.5</v>
      </c>
      <c r="J511" s="99">
        <f>J512+J514</f>
        <v>0</v>
      </c>
      <c r="K511" s="96">
        <f t="shared" si="45"/>
        <v>329.5</v>
      </c>
      <c r="L511" s="106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47" customFormat="1" ht="18" customHeight="1">
      <c r="A512" s="136" t="s">
        <v>677</v>
      </c>
      <c r="B512" s="78">
        <v>806</v>
      </c>
      <c r="C512" s="67" t="s">
        <v>106</v>
      </c>
      <c r="D512" s="67" t="s">
        <v>26</v>
      </c>
      <c r="E512" s="67" t="s">
        <v>599</v>
      </c>
      <c r="F512" s="67"/>
      <c r="G512" s="96">
        <f>SUM(G513)</f>
        <v>37.7</v>
      </c>
      <c r="H512" s="99">
        <f>SUM(H513)</f>
        <v>0</v>
      </c>
      <c r="I512" s="99">
        <f t="shared" si="47"/>
        <v>37.7</v>
      </c>
      <c r="J512" s="99">
        <f>SUM(J513)</f>
        <v>0</v>
      </c>
      <c r="K512" s="96">
        <f t="shared" si="45"/>
        <v>37.7</v>
      </c>
      <c r="L512" s="106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48" customFormat="1" ht="18" customHeight="1">
      <c r="A513" s="124" t="s">
        <v>63</v>
      </c>
      <c r="B513" s="78">
        <v>806</v>
      </c>
      <c r="C513" s="67" t="s">
        <v>106</v>
      </c>
      <c r="D513" s="67" t="s">
        <v>26</v>
      </c>
      <c r="E513" s="67" t="s">
        <v>599</v>
      </c>
      <c r="F513" s="67" t="s">
        <v>660</v>
      </c>
      <c r="G513" s="96">
        <v>37.7</v>
      </c>
      <c r="H513" s="104"/>
      <c r="I513" s="99">
        <f t="shared" si="47"/>
        <v>37.7</v>
      </c>
      <c r="J513" s="104"/>
      <c r="K513" s="96">
        <f t="shared" si="45"/>
        <v>37.7</v>
      </c>
      <c r="L513" s="106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8" customHeight="1">
      <c r="A514" s="136" t="s">
        <v>655</v>
      </c>
      <c r="B514" s="78">
        <v>806</v>
      </c>
      <c r="C514" s="67" t="s">
        <v>106</v>
      </c>
      <c r="D514" s="67" t="s">
        <v>26</v>
      </c>
      <c r="E514" s="67" t="s">
        <v>215</v>
      </c>
      <c r="F514" s="67"/>
      <c r="G514" s="96">
        <f>SUM(G515)</f>
        <v>291.8</v>
      </c>
      <c r="H514" s="99">
        <f>SUM(H515)</f>
        <v>0</v>
      </c>
      <c r="I514" s="99">
        <f t="shared" si="47"/>
        <v>291.8</v>
      </c>
      <c r="J514" s="99">
        <f>SUM(J515)</f>
        <v>0</v>
      </c>
      <c r="K514" s="96">
        <f t="shared" si="45"/>
        <v>291.8</v>
      </c>
      <c r="L514" s="106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8" customHeight="1">
      <c r="A515" s="124" t="s">
        <v>63</v>
      </c>
      <c r="B515" s="78">
        <v>806</v>
      </c>
      <c r="C515" s="67" t="s">
        <v>106</v>
      </c>
      <c r="D515" s="67" t="s">
        <v>26</v>
      </c>
      <c r="E515" s="67" t="s">
        <v>215</v>
      </c>
      <c r="F515" s="67" t="s">
        <v>660</v>
      </c>
      <c r="G515" s="96">
        <v>291.8</v>
      </c>
      <c r="H515" s="104"/>
      <c r="I515" s="99">
        <f t="shared" si="47"/>
        <v>291.8</v>
      </c>
      <c r="J515" s="104"/>
      <c r="K515" s="96">
        <f t="shared" si="45"/>
        <v>291.8</v>
      </c>
      <c r="L515" s="106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8.75" customHeight="1">
      <c r="A516" s="135" t="s">
        <v>797</v>
      </c>
      <c r="B516" s="78">
        <v>806</v>
      </c>
      <c r="C516" s="67" t="s">
        <v>106</v>
      </c>
      <c r="D516" s="67" t="s">
        <v>27</v>
      </c>
      <c r="E516" s="67"/>
      <c r="F516" s="67"/>
      <c r="G516" s="96">
        <f>SUM(G517,G524)</f>
        <v>126600.90000000001</v>
      </c>
      <c r="H516" s="99">
        <f>SUM(H517,H524)</f>
        <v>17700</v>
      </c>
      <c r="I516" s="99">
        <f t="shared" si="47"/>
        <v>144300.90000000002</v>
      </c>
      <c r="J516" s="99">
        <f>SUM(J517,J524)</f>
        <v>8340.6</v>
      </c>
      <c r="K516" s="96">
        <f t="shared" si="45"/>
        <v>152641.50000000003</v>
      </c>
      <c r="L516" s="106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9.5" customHeight="1">
      <c r="A517" s="136" t="s">
        <v>798</v>
      </c>
      <c r="B517" s="78">
        <v>806</v>
      </c>
      <c r="C517" s="67" t="s">
        <v>106</v>
      </c>
      <c r="D517" s="67" t="s">
        <v>27</v>
      </c>
      <c r="E517" s="67" t="s">
        <v>216</v>
      </c>
      <c r="F517" s="67"/>
      <c r="G517" s="96">
        <f>SUM(G520,G522)</f>
        <v>107482.90000000001</v>
      </c>
      <c r="H517" s="99">
        <f>SUM(H520,H522,H518)</f>
        <v>17700</v>
      </c>
      <c r="I517" s="99">
        <f t="shared" si="47"/>
        <v>125182.90000000001</v>
      </c>
      <c r="J517" s="99">
        <f>SUM(J520,J522,J518)</f>
        <v>8340.6</v>
      </c>
      <c r="K517" s="96">
        <f t="shared" si="45"/>
        <v>133523.5</v>
      </c>
      <c r="L517" s="106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52.5" customHeight="1">
      <c r="A518" s="136" t="s">
        <v>151</v>
      </c>
      <c r="B518" s="78">
        <v>806</v>
      </c>
      <c r="C518" s="67" t="s">
        <v>106</v>
      </c>
      <c r="D518" s="67" t="s">
        <v>27</v>
      </c>
      <c r="E518" s="67" t="s">
        <v>84</v>
      </c>
      <c r="F518" s="67"/>
      <c r="G518" s="96"/>
      <c r="H518" s="99">
        <f>H519</f>
        <v>17700</v>
      </c>
      <c r="I518" s="99">
        <f t="shared" si="47"/>
        <v>17700</v>
      </c>
      <c r="J518" s="99">
        <f>J519</f>
        <v>0</v>
      </c>
      <c r="K518" s="96">
        <f t="shared" si="45"/>
        <v>17700</v>
      </c>
      <c r="L518" s="106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9.5" customHeight="1">
      <c r="A519" s="124" t="s">
        <v>63</v>
      </c>
      <c r="B519" s="78">
        <v>806</v>
      </c>
      <c r="C519" s="67" t="s">
        <v>106</v>
      </c>
      <c r="D519" s="67" t="s">
        <v>27</v>
      </c>
      <c r="E519" s="67" t="s">
        <v>84</v>
      </c>
      <c r="F519" s="67" t="s">
        <v>660</v>
      </c>
      <c r="G519" s="96"/>
      <c r="H519" s="99">
        <f>17000+700</f>
        <v>17700</v>
      </c>
      <c r="I519" s="99">
        <f t="shared" si="47"/>
        <v>17700</v>
      </c>
      <c r="J519" s="99"/>
      <c r="K519" s="96">
        <f t="shared" si="45"/>
        <v>17700</v>
      </c>
      <c r="L519" s="106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8" customHeight="1">
      <c r="A520" s="136" t="s">
        <v>677</v>
      </c>
      <c r="B520" s="78">
        <v>806</v>
      </c>
      <c r="C520" s="67" t="s">
        <v>106</v>
      </c>
      <c r="D520" s="67" t="s">
        <v>27</v>
      </c>
      <c r="E520" s="67" t="s">
        <v>32</v>
      </c>
      <c r="F520" s="67"/>
      <c r="G520" s="96">
        <f>SUM(G521)</f>
        <v>333.6</v>
      </c>
      <c r="H520" s="99">
        <f>SUM(H521)</f>
        <v>0</v>
      </c>
      <c r="I520" s="99">
        <f t="shared" si="47"/>
        <v>333.6</v>
      </c>
      <c r="J520" s="99">
        <f>SUM(J521)</f>
        <v>0</v>
      </c>
      <c r="K520" s="96">
        <f t="shared" si="45"/>
        <v>333.6</v>
      </c>
      <c r="L520" s="106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8.75" customHeight="1">
      <c r="A521" s="124" t="s">
        <v>63</v>
      </c>
      <c r="B521" s="78">
        <v>806</v>
      </c>
      <c r="C521" s="67" t="s">
        <v>106</v>
      </c>
      <c r="D521" s="67" t="s">
        <v>27</v>
      </c>
      <c r="E521" s="67" t="s">
        <v>32</v>
      </c>
      <c r="F521" s="67" t="s">
        <v>660</v>
      </c>
      <c r="G521" s="96">
        <v>333.6</v>
      </c>
      <c r="H521" s="104"/>
      <c r="I521" s="99">
        <f t="shared" si="47"/>
        <v>333.6</v>
      </c>
      <c r="J521" s="104"/>
      <c r="K521" s="96">
        <f t="shared" si="45"/>
        <v>333.6</v>
      </c>
      <c r="L521" s="106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9.5" customHeight="1">
      <c r="A522" s="136" t="s">
        <v>655</v>
      </c>
      <c r="B522" s="78">
        <v>806</v>
      </c>
      <c r="C522" s="67" t="s">
        <v>106</v>
      </c>
      <c r="D522" s="67" t="s">
        <v>27</v>
      </c>
      <c r="E522" s="67" t="s">
        <v>217</v>
      </c>
      <c r="F522" s="67"/>
      <c r="G522" s="96">
        <f>SUM(G523)</f>
        <v>107149.3</v>
      </c>
      <c r="H522" s="99">
        <f>SUM(H523)</f>
        <v>0</v>
      </c>
      <c r="I522" s="99">
        <f t="shared" si="47"/>
        <v>107149.3</v>
      </c>
      <c r="J522" s="99">
        <f>SUM(J523)</f>
        <v>8340.6</v>
      </c>
      <c r="K522" s="96">
        <f t="shared" si="45"/>
        <v>115489.90000000001</v>
      </c>
      <c r="L522" s="106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20.25" customHeight="1">
      <c r="A523" s="124" t="s">
        <v>63</v>
      </c>
      <c r="B523" s="78">
        <v>806</v>
      </c>
      <c r="C523" s="67" t="s">
        <v>106</v>
      </c>
      <c r="D523" s="67" t="s">
        <v>27</v>
      </c>
      <c r="E523" s="67" t="s">
        <v>217</v>
      </c>
      <c r="F523" s="67" t="s">
        <v>660</v>
      </c>
      <c r="G523" s="96">
        <v>107149.3</v>
      </c>
      <c r="H523" s="104"/>
      <c r="I523" s="99">
        <f t="shared" si="47"/>
        <v>107149.3</v>
      </c>
      <c r="J523" s="104">
        <f>7614.9+1000-274.3</f>
        <v>8340.6</v>
      </c>
      <c r="K523" s="96">
        <f t="shared" si="45"/>
        <v>115489.90000000001</v>
      </c>
      <c r="L523" s="106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6.5">
      <c r="A524" s="135" t="s">
        <v>799</v>
      </c>
      <c r="B524" s="78">
        <v>806</v>
      </c>
      <c r="C524" s="67" t="s">
        <v>106</v>
      </c>
      <c r="D524" s="67" t="s">
        <v>27</v>
      </c>
      <c r="E524" s="67" t="s">
        <v>561</v>
      </c>
      <c r="F524" s="67"/>
      <c r="G524" s="96">
        <f aca="true" t="shared" si="48" ref="G524:J525">SUM(G525)</f>
        <v>19118</v>
      </c>
      <c r="H524" s="99">
        <f t="shared" si="48"/>
        <v>0</v>
      </c>
      <c r="I524" s="99">
        <f t="shared" si="47"/>
        <v>19118</v>
      </c>
      <c r="J524" s="99">
        <f t="shared" si="48"/>
        <v>0</v>
      </c>
      <c r="K524" s="96">
        <f t="shared" si="45"/>
        <v>19118</v>
      </c>
      <c r="L524" s="106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54.75" customHeight="1">
      <c r="A525" s="124" t="s">
        <v>519</v>
      </c>
      <c r="B525" s="78">
        <v>806</v>
      </c>
      <c r="C525" s="67" t="s">
        <v>106</v>
      </c>
      <c r="D525" s="67" t="s">
        <v>27</v>
      </c>
      <c r="E525" s="67" t="s">
        <v>143</v>
      </c>
      <c r="F525" s="67"/>
      <c r="G525" s="96">
        <f t="shared" si="48"/>
        <v>19118</v>
      </c>
      <c r="H525" s="99">
        <f t="shared" si="48"/>
        <v>0</v>
      </c>
      <c r="I525" s="99">
        <f t="shared" si="47"/>
        <v>19118</v>
      </c>
      <c r="J525" s="99">
        <f t="shared" si="48"/>
        <v>0</v>
      </c>
      <c r="K525" s="96">
        <f t="shared" si="45"/>
        <v>19118</v>
      </c>
      <c r="L525" s="106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8.75" customHeight="1">
      <c r="A526" s="124" t="s">
        <v>63</v>
      </c>
      <c r="B526" s="78">
        <v>806</v>
      </c>
      <c r="C526" s="67" t="s">
        <v>106</v>
      </c>
      <c r="D526" s="67" t="s">
        <v>27</v>
      </c>
      <c r="E526" s="67" t="s">
        <v>143</v>
      </c>
      <c r="F526" s="67" t="s">
        <v>660</v>
      </c>
      <c r="G526" s="96">
        <v>19118</v>
      </c>
      <c r="H526" s="104"/>
      <c r="I526" s="99">
        <f t="shared" si="47"/>
        <v>19118</v>
      </c>
      <c r="J526" s="104"/>
      <c r="K526" s="96">
        <f t="shared" si="45"/>
        <v>19118</v>
      </c>
      <c r="L526" s="106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8" customHeight="1">
      <c r="A527" s="135" t="s">
        <v>800</v>
      </c>
      <c r="B527" s="78">
        <v>806</v>
      </c>
      <c r="C527" s="67" t="s">
        <v>106</v>
      </c>
      <c r="D527" s="67" t="s">
        <v>108</v>
      </c>
      <c r="E527" s="67"/>
      <c r="F527" s="67"/>
      <c r="G527" s="96">
        <f>SUM(G528)</f>
        <v>7488.099999999999</v>
      </c>
      <c r="H527" s="99">
        <f>SUM(H528)</f>
        <v>0</v>
      </c>
      <c r="I527" s="99">
        <f t="shared" si="47"/>
        <v>7488.099999999999</v>
      </c>
      <c r="J527" s="99">
        <f>SUM(J528)</f>
        <v>412.8</v>
      </c>
      <c r="K527" s="96">
        <f t="shared" si="45"/>
        <v>7900.9</v>
      </c>
      <c r="L527" s="106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47" customFormat="1" ht="19.5" customHeight="1">
      <c r="A528" s="136" t="s">
        <v>801</v>
      </c>
      <c r="B528" s="78">
        <v>806</v>
      </c>
      <c r="C528" s="67" t="s">
        <v>106</v>
      </c>
      <c r="D528" s="67" t="s">
        <v>108</v>
      </c>
      <c r="E528" s="67" t="s">
        <v>218</v>
      </c>
      <c r="F528" s="67"/>
      <c r="G528" s="96">
        <f>SUM(G529,G531)</f>
        <v>7488.099999999999</v>
      </c>
      <c r="H528" s="99">
        <f>SUM(H529,H531)</f>
        <v>0</v>
      </c>
      <c r="I528" s="99">
        <f t="shared" si="47"/>
        <v>7488.099999999999</v>
      </c>
      <c r="J528" s="99">
        <f>SUM(J529,J531)</f>
        <v>412.8</v>
      </c>
      <c r="K528" s="96">
        <f t="shared" si="45"/>
        <v>7900.9</v>
      </c>
      <c r="L528" s="106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48" customFormat="1" ht="18" customHeight="1">
      <c r="A529" s="136" t="s">
        <v>677</v>
      </c>
      <c r="B529" s="78">
        <v>806</v>
      </c>
      <c r="C529" s="67" t="s">
        <v>106</v>
      </c>
      <c r="D529" s="67" t="s">
        <v>108</v>
      </c>
      <c r="E529" s="67" t="s">
        <v>600</v>
      </c>
      <c r="F529" s="67"/>
      <c r="G529" s="96">
        <f>SUM(G530)</f>
        <v>219.7</v>
      </c>
      <c r="H529" s="99">
        <f>SUM(H530)</f>
        <v>0</v>
      </c>
      <c r="I529" s="99">
        <f t="shared" si="47"/>
        <v>219.7</v>
      </c>
      <c r="J529" s="99">
        <f>SUM(J530)</f>
        <v>0</v>
      </c>
      <c r="K529" s="96">
        <f t="shared" si="45"/>
        <v>219.7</v>
      </c>
      <c r="L529" s="106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8.75" customHeight="1">
      <c r="A530" s="124" t="s">
        <v>63</v>
      </c>
      <c r="B530" s="78">
        <v>806</v>
      </c>
      <c r="C530" s="67" t="s">
        <v>106</v>
      </c>
      <c r="D530" s="67" t="s">
        <v>108</v>
      </c>
      <c r="E530" s="67" t="s">
        <v>600</v>
      </c>
      <c r="F530" s="67" t="s">
        <v>660</v>
      </c>
      <c r="G530" s="96">
        <v>219.7</v>
      </c>
      <c r="H530" s="104"/>
      <c r="I530" s="99">
        <f t="shared" si="47"/>
        <v>219.7</v>
      </c>
      <c r="J530" s="104"/>
      <c r="K530" s="96">
        <f aca="true" t="shared" si="49" ref="K530:K593">I530+J530</f>
        <v>219.7</v>
      </c>
      <c r="L530" s="106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7.25" customHeight="1">
      <c r="A531" s="136" t="s">
        <v>655</v>
      </c>
      <c r="B531" s="78">
        <v>806</v>
      </c>
      <c r="C531" s="67" t="s">
        <v>106</v>
      </c>
      <c r="D531" s="67" t="s">
        <v>108</v>
      </c>
      <c r="E531" s="67" t="s">
        <v>219</v>
      </c>
      <c r="F531" s="67"/>
      <c r="G531" s="96">
        <f>SUM(G532)</f>
        <v>7268.4</v>
      </c>
      <c r="H531" s="99">
        <f>SUM(H532)</f>
        <v>0</v>
      </c>
      <c r="I531" s="99">
        <f t="shared" si="47"/>
        <v>7268.4</v>
      </c>
      <c r="J531" s="99">
        <f>SUM(J532)</f>
        <v>412.8</v>
      </c>
      <c r="K531" s="96">
        <f t="shared" si="49"/>
        <v>7681.2</v>
      </c>
      <c r="L531" s="106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8" customHeight="1">
      <c r="A532" s="124" t="s">
        <v>63</v>
      </c>
      <c r="B532" s="78">
        <v>806</v>
      </c>
      <c r="C532" s="67" t="s">
        <v>106</v>
      </c>
      <c r="D532" s="67" t="s">
        <v>108</v>
      </c>
      <c r="E532" s="67" t="s">
        <v>219</v>
      </c>
      <c r="F532" s="67" t="s">
        <v>660</v>
      </c>
      <c r="G532" s="96">
        <v>7268.4</v>
      </c>
      <c r="H532" s="104"/>
      <c r="I532" s="99">
        <f t="shared" si="47"/>
        <v>7268.4</v>
      </c>
      <c r="J532" s="104">
        <v>412.8</v>
      </c>
      <c r="K532" s="96">
        <f t="shared" si="49"/>
        <v>7681.2</v>
      </c>
      <c r="L532" s="106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21.75" customHeight="1">
      <c r="A533" s="135" t="s">
        <v>802</v>
      </c>
      <c r="B533" s="78">
        <v>806</v>
      </c>
      <c r="C533" s="67" t="s">
        <v>106</v>
      </c>
      <c r="D533" s="67" t="s">
        <v>106</v>
      </c>
      <c r="E533" s="67"/>
      <c r="F533" s="67"/>
      <c r="G533" s="96">
        <f>SUM(G534,G537,G542,G557,G562,G549)</f>
        <v>31336.800000000003</v>
      </c>
      <c r="H533" s="99">
        <f>SUM(H534,H537,H542,H557,H562,H547)</f>
        <v>219</v>
      </c>
      <c r="I533" s="99">
        <f t="shared" si="47"/>
        <v>31555.800000000003</v>
      </c>
      <c r="J533" s="99">
        <f>SUM(J534,J537,J542,J557,J562,J547)</f>
        <v>2655.1000000000004</v>
      </c>
      <c r="K533" s="96">
        <f t="shared" si="49"/>
        <v>34210.9</v>
      </c>
      <c r="L533" s="106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53.25" customHeight="1">
      <c r="A534" s="124" t="s">
        <v>93</v>
      </c>
      <c r="B534" s="78">
        <v>806</v>
      </c>
      <c r="C534" s="67" t="s">
        <v>106</v>
      </c>
      <c r="D534" s="67" t="s">
        <v>106</v>
      </c>
      <c r="E534" s="67" t="s">
        <v>94</v>
      </c>
      <c r="F534" s="67"/>
      <c r="G534" s="96">
        <f aca="true" t="shared" si="50" ref="G534:J535">SUM(G535)</f>
        <v>8910.5</v>
      </c>
      <c r="H534" s="99">
        <f t="shared" si="50"/>
        <v>14.5</v>
      </c>
      <c r="I534" s="99">
        <f t="shared" si="47"/>
        <v>8925</v>
      </c>
      <c r="J534" s="99">
        <f t="shared" si="50"/>
        <v>759</v>
      </c>
      <c r="K534" s="96">
        <f t="shared" si="49"/>
        <v>9684</v>
      </c>
      <c r="L534" s="106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9.5" customHeight="1">
      <c r="A535" s="124" t="s">
        <v>673</v>
      </c>
      <c r="B535" s="78">
        <v>806</v>
      </c>
      <c r="C535" s="67" t="s">
        <v>106</v>
      </c>
      <c r="D535" s="67" t="s">
        <v>106</v>
      </c>
      <c r="E535" s="67" t="s">
        <v>96</v>
      </c>
      <c r="F535" s="67"/>
      <c r="G535" s="96">
        <f t="shared" si="50"/>
        <v>8910.5</v>
      </c>
      <c r="H535" s="99">
        <f t="shared" si="50"/>
        <v>14.5</v>
      </c>
      <c r="I535" s="99">
        <f t="shared" si="47"/>
        <v>8925</v>
      </c>
      <c r="J535" s="99">
        <f t="shared" si="50"/>
        <v>759</v>
      </c>
      <c r="K535" s="96">
        <f t="shared" si="49"/>
        <v>9684</v>
      </c>
      <c r="L535" s="106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9.5" customHeight="1">
      <c r="A536" s="120" t="s">
        <v>438</v>
      </c>
      <c r="B536" s="78">
        <v>806</v>
      </c>
      <c r="C536" s="67" t="s">
        <v>106</v>
      </c>
      <c r="D536" s="67" t="s">
        <v>106</v>
      </c>
      <c r="E536" s="67" t="s">
        <v>96</v>
      </c>
      <c r="F536" s="67" t="s">
        <v>277</v>
      </c>
      <c r="G536" s="96">
        <f>8001.7+908.8</f>
        <v>8910.5</v>
      </c>
      <c r="H536" s="104">
        <v>14.5</v>
      </c>
      <c r="I536" s="99">
        <f t="shared" si="47"/>
        <v>8925</v>
      </c>
      <c r="J536" s="104">
        <f>759</f>
        <v>759</v>
      </c>
      <c r="K536" s="96">
        <f t="shared" si="49"/>
        <v>9684</v>
      </c>
      <c r="L536" s="106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55.5" customHeight="1">
      <c r="A537" s="124" t="s">
        <v>783</v>
      </c>
      <c r="B537" s="78">
        <v>806</v>
      </c>
      <c r="C537" s="67" t="s">
        <v>106</v>
      </c>
      <c r="D537" s="67" t="s">
        <v>106</v>
      </c>
      <c r="E537" s="67" t="s">
        <v>648</v>
      </c>
      <c r="F537" s="67"/>
      <c r="G537" s="96">
        <f>SUM(G538,G540)</f>
        <v>10283.2</v>
      </c>
      <c r="H537" s="99">
        <f>SUM(H538,H540)</f>
        <v>0</v>
      </c>
      <c r="I537" s="99">
        <f t="shared" si="47"/>
        <v>10283.2</v>
      </c>
      <c r="J537" s="99">
        <f>SUM(J538,J540)</f>
        <v>819.2</v>
      </c>
      <c r="K537" s="96">
        <f t="shared" si="49"/>
        <v>11102.400000000001</v>
      </c>
      <c r="L537" s="106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8" customHeight="1" hidden="1">
      <c r="A538" s="136" t="s">
        <v>593</v>
      </c>
      <c r="B538" s="78">
        <v>806</v>
      </c>
      <c r="C538" s="67" t="s">
        <v>106</v>
      </c>
      <c r="D538" s="67" t="s">
        <v>106</v>
      </c>
      <c r="E538" s="67" t="s">
        <v>597</v>
      </c>
      <c r="F538" s="67"/>
      <c r="G538" s="96">
        <f>SUM(G539)</f>
        <v>0</v>
      </c>
      <c r="H538" s="99">
        <f>SUM(H539)</f>
        <v>0</v>
      </c>
      <c r="I538" s="99">
        <f t="shared" si="47"/>
        <v>0</v>
      </c>
      <c r="J538" s="99">
        <f>SUM(J539)</f>
        <v>0</v>
      </c>
      <c r="K538" s="96">
        <f t="shared" si="49"/>
        <v>0</v>
      </c>
      <c r="L538" s="106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9.5" customHeight="1" hidden="1">
      <c r="A539" s="124" t="s">
        <v>63</v>
      </c>
      <c r="B539" s="78">
        <v>806</v>
      </c>
      <c r="C539" s="67" t="s">
        <v>106</v>
      </c>
      <c r="D539" s="67" t="s">
        <v>106</v>
      </c>
      <c r="E539" s="67" t="s">
        <v>597</v>
      </c>
      <c r="F539" s="67" t="s">
        <v>660</v>
      </c>
      <c r="G539" s="96"/>
      <c r="H539" s="99"/>
      <c r="I539" s="99">
        <f t="shared" si="47"/>
        <v>0</v>
      </c>
      <c r="J539" s="99"/>
      <c r="K539" s="96">
        <f t="shared" si="49"/>
        <v>0</v>
      </c>
      <c r="L539" s="106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9.5" customHeight="1">
      <c r="A540" s="136" t="s">
        <v>655</v>
      </c>
      <c r="B540" s="78">
        <v>806</v>
      </c>
      <c r="C540" s="67" t="s">
        <v>106</v>
      </c>
      <c r="D540" s="67" t="s">
        <v>106</v>
      </c>
      <c r="E540" s="67" t="s">
        <v>649</v>
      </c>
      <c r="F540" s="67"/>
      <c r="G540" s="96">
        <f>SUM(G541)</f>
        <v>10283.2</v>
      </c>
      <c r="H540" s="99">
        <f>SUM(H541)</f>
        <v>0</v>
      </c>
      <c r="I540" s="99">
        <f t="shared" si="47"/>
        <v>10283.2</v>
      </c>
      <c r="J540" s="99">
        <f>SUM(J541)</f>
        <v>819.2</v>
      </c>
      <c r="K540" s="96">
        <f t="shared" si="49"/>
        <v>11102.400000000001</v>
      </c>
      <c r="L540" s="106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47" customFormat="1" ht="20.25" customHeight="1">
      <c r="A541" s="124" t="s">
        <v>63</v>
      </c>
      <c r="B541" s="78">
        <v>806</v>
      </c>
      <c r="C541" s="67" t="s">
        <v>106</v>
      </c>
      <c r="D541" s="67" t="s">
        <v>106</v>
      </c>
      <c r="E541" s="67" t="s">
        <v>649</v>
      </c>
      <c r="F541" s="67" t="s">
        <v>660</v>
      </c>
      <c r="G541" s="96">
        <v>10283.2</v>
      </c>
      <c r="H541" s="104"/>
      <c r="I541" s="99">
        <f t="shared" si="47"/>
        <v>10283.2</v>
      </c>
      <c r="J541" s="104">
        <v>819.2</v>
      </c>
      <c r="K541" s="96">
        <f t="shared" si="49"/>
        <v>11102.400000000001</v>
      </c>
      <c r="L541" s="106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48" customFormat="1" ht="35.25" customHeight="1">
      <c r="A542" s="136" t="s">
        <v>803</v>
      </c>
      <c r="B542" s="78">
        <v>806</v>
      </c>
      <c r="C542" s="67" t="s">
        <v>106</v>
      </c>
      <c r="D542" s="67" t="s">
        <v>106</v>
      </c>
      <c r="E542" s="67" t="s">
        <v>220</v>
      </c>
      <c r="F542" s="67"/>
      <c r="G542" s="96">
        <f>SUM(G543,G545)</f>
        <v>1581</v>
      </c>
      <c r="H542" s="99">
        <f>SUM(H543,H545)</f>
        <v>0</v>
      </c>
      <c r="I542" s="99">
        <f t="shared" si="47"/>
        <v>1581</v>
      </c>
      <c r="J542" s="99">
        <f>SUM(J543,J545)</f>
        <v>110.9</v>
      </c>
      <c r="K542" s="96">
        <f t="shared" si="49"/>
        <v>1691.9</v>
      </c>
      <c r="L542" s="106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9.5" customHeight="1" hidden="1">
      <c r="A543" s="136" t="s">
        <v>593</v>
      </c>
      <c r="B543" s="78">
        <v>806</v>
      </c>
      <c r="C543" s="67" t="s">
        <v>106</v>
      </c>
      <c r="D543" s="67" t="s">
        <v>106</v>
      </c>
      <c r="E543" s="67" t="s">
        <v>601</v>
      </c>
      <c r="F543" s="67"/>
      <c r="G543" s="96">
        <f>SUM(G544)</f>
        <v>0</v>
      </c>
      <c r="H543" s="99">
        <f>SUM(H544)</f>
        <v>0</v>
      </c>
      <c r="I543" s="99">
        <f t="shared" si="47"/>
        <v>0</v>
      </c>
      <c r="J543" s="99">
        <f>SUM(J544)</f>
        <v>0</v>
      </c>
      <c r="K543" s="96">
        <f t="shared" si="49"/>
        <v>0</v>
      </c>
      <c r="L543" s="106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6.5" hidden="1">
      <c r="A544" s="124" t="s">
        <v>63</v>
      </c>
      <c r="B544" s="78">
        <v>806</v>
      </c>
      <c r="C544" s="67" t="s">
        <v>106</v>
      </c>
      <c r="D544" s="67" t="s">
        <v>106</v>
      </c>
      <c r="E544" s="67" t="s">
        <v>601</v>
      </c>
      <c r="F544" s="67" t="s">
        <v>660</v>
      </c>
      <c r="G544" s="96"/>
      <c r="H544" s="99"/>
      <c r="I544" s="99">
        <f t="shared" si="47"/>
        <v>0</v>
      </c>
      <c r="J544" s="99"/>
      <c r="K544" s="96">
        <f t="shared" si="49"/>
        <v>0</v>
      </c>
      <c r="L544" s="106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8" customHeight="1">
      <c r="A545" s="136" t="s">
        <v>655</v>
      </c>
      <c r="B545" s="78">
        <v>806</v>
      </c>
      <c r="C545" s="67" t="s">
        <v>106</v>
      </c>
      <c r="D545" s="67" t="s">
        <v>106</v>
      </c>
      <c r="E545" s="67" t="s">
        <v>221</v>
      </c>
      <c r="F545" s="67"/>
      <c r="G545" s="96">
        <f>SUM(G546)</f>
        <v>1581</v>
      </c>
      <c r="H545" s="99">
        <f>SUM(H546)</f>
        <v>0</v>
      </c>
      <c r="I545" s="99">
        <f t="shared" si="47"/>
        <v>1581</v>
      </c>
      <c r="J545" s="99">
        <f>SUM(J546)</f>
        <v>110.9</v>
      </c>
      <c r="K545" s="96">
        <f t="shared" si="49"/>
        <v>1691.9</v>
      </c>
      <c r="L545" s="106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8.75" customHeight="1">
      <c r="A546" s="124" t="s">
        <v>63</v>
      </c>
      <c r="B546" s="78">
        <v>806</v>
      </c>
      <c r="C546" s="67" t="s">
        <v>106</v>
      </c>
      <c r="D546" s="67" t="s">
        <v>106</v>
      </c>
      <c r="E546" s="67" t="s">
        <v>221</v>
      </c>
      <c r="F546" s="67" t="s">
        <v>660</v>
      </c>
      <c r="G546" s="96">
        <v>1581</v>
      </c>
      <c r="H546" s="104"/>
      <c r="I546" s="99">
        <f t="shared" si="47"/>
        <v>1581</v>
      </c>
      <c r="J546" s="104">
        <f>80.9+30</f>
        <v>110.9</v>
      </c>
      <c r="K546" s="96">
        <f t="shared" si="49"/>
        <v>1691.9</v>
      </c>
      <c r="L546" s="106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8.75" customHeight="1">
      <c r="A547" s="124" t="s">
        <v>804</v>
      </c>
      <c r="B547" s="78">
        <v>806</v>
      </c>
      <c r="C547" s="67" t="s">
        <v>106</v>
      </c>
      <c r="D547" s="67" t="s">
        <v>106</v>
      </c>
      <c r="E547" s="67" t="s">
        <v>407</v>
      </c>
      <c r="F547" s="67"/>
      <c r="G547" s="96">
        <f aca="true" t="shared" si="51" ref="G547:J549">G548</f>
        <v>3882.4</v>
      </c>
      <c r="H547" s="99">
        <f t="shared" si="51"/>
        <v>204.5</v>
      </c>
      <c r="I547" s="99">
        <f t="shared" si="47"/>
        <v>4086.9</v>
      </c>
      <c r="J547" s="99">
        <f t="shared" si="51"/>
        <v>966</v>
      </c>
      <c r="K547" s="96">
        <f t="shared" si="49"/>
        <v>5052.9</v>
      </c>
      <c r="L547" s="106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8.75" customHeight="1">
      <c r="A548" s="124" t="s">
        <v>805</v>
      </c>
      <c r="B548" s="78">
        <v>806</v>
      </c>
      <c r="C548" s="67" t="s">
        <v>106</v>
      </c>
      <c r="D548" s="67" t="s">
        <v>106</v>
      </c>
      <c r="E548" s="67" t="s">
        <v>543</v>
      </c>
      <c r="F548" s="67"/>
      <c r="G548" s="96">
        <f t="shared" si="51"/>
        <v>3882.4</v>
      </c>
      <c r="H548" s="99">
        <f>H549+H553</f>
        <v>204.5</v>
      </c>
      <c r="I548" s="99">
        <f t="shared" si="47"/>
        <v>4086.9</v>
      </c>
      <c r="J548" s="99">
        <f>J549+J553+J555+J551</f>
        <v>966</v>
      </c>
      <c r="K548" s="96">
        <f t="shared" si="49"/>
        <v>5052.9</v>
      </c>
      <c r="L548" s="106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31.5" customHeight="1">
      <c r="A549" s="123" t="s">
        <v>520</v>
      </c>
      <c r="B549" s="78">
        <v>806</v>
      </c>
      <c r="C549" s="67" t="s">
        <v>106</v>
      </c>
      <c r="D549" s="67" t="s">
        <v>106</v>
      </c>
      <c r="E549" s="67" t="s">
        <v>542</v>
      </c>
      <c r="F549" s="67"/>
      <c r="G549" s="96">
        <f t="shared" si="51"/>
        <v>3882.4</v>
      </c>
      <c r="H549" s="99">
        <f t="shared" si="51"/>
        <v>0</v>
      </c>
      <c r="I549" s="99">
        <f t="shared" si="47"/>
        <v>3882.4</v>
      </c>
      <c r="J549" s="99">
        <f t="shared" si="51"/>
        <v>0</v>
      </c>
      <c r="K549" s="96">
        <f t="shared" si="49"/>
        <v>3882.4</v>
      </c>
      <c r="L549" s="106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23.25" customHeight="1">
      <c r="A550" s="145" t="s">
        <v>530</v>
      </c>
      <c r="B550" s="78">
        <v>806</v>
      </c>
      <c r="C550" s="67" t="s">
        <v>106</v>
      </c>
      <c r="D550" s="67" t="s">
        <v>106</v>
      </c>
      <c r="E550" s="67" t="s">
        <v>542</v>
      </c>
      <c r="F550" s="67" t="s">
        <v>831</v>
      </c>
      <c r="G550" s="96">
        <v>3882.4</v>
      </c>
      <c r="H550" s="104"/>
      <c r="I550" s="99">
        <f t="shared" si="47"/>
        <v>3882.4</v>
      </c>
      <c r="J550" s="104"/>
      <c r="K550" s="96">
        <f t="shared" si="49"/>
        <v>3882.4</v>
      </c>
      <c r="L550" s="106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35.25" customHeight="1">
      <c r="A551" s="140" t="s">
        <v>749</v>
      </c>
      <c r="B551" s="78">
        <v>806</v>
      </c>
      <c r="C551" s="67" t="s">
        <v>106</v>
      </c>
      <c r="D551" s="67" t="s">
        <v>106</v>
      </c>
      <c r="E551" s="67" t="s">
        <v>750</v>
      </c>
      <c r="F551" s="67"/>
      <c r="G551" s="96"/>
      <c r="H551" s="104"/>
      <c r="I551" s="99"/>
      <c r="J551" s="104">
        <f>J552</f>
        <v>49.3</v>
      </c>
      <c r="K551" s="96">
        <f t="shared" si="49"/>
        <v>49.3</v>
      </c>
      <c r="L551" s="106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8" customHeight="1">
      <c r="A552" s="141" t="s">
        <v>854</v>
      </c>
      <c r="B552" s="78">
        <v>806</v>
      </c>
      <c r="C552" s="67" t="s">
        <v>106</v>
      </c>
      <c r="D552" s="67" t="s">
        <v>106</v>
      </c>
      <c r="E552" s="67" t="s">
        <v>750</v>
      </c>
      <c r="F552" s="67" t="s">
        <v>831</v>
      </c>
      <c r="G552" s="96"/>
      <c r="H552" s="104"/>
      <c r="I552" s="99"/>
      <c r="J552" s="104">
        <v>49.3</v>
      </c>
      <c r="K552" s="96">
        <f t="shared" si="49"/>
        <v>49.3</v>
      </c>
      <c r="L552" s="106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32.25" customHeight="1">
      <c r="A553" s="123" t="s">
        <v>752</v>
      </c>
      <c r="B553" s="78">
        <v>806</v>
      </c>
      <c r="C553" s="67" t="s">
        <v>106</v>
      </c>
      <c r="D553" s="67" t="s">
        <v>106</v>
      </c>
      <c r="E553" s="67" t="s">
        <v>321</v>
      </c>
      <c r="F553" s="67"/>
      <c r="G553" s="96"/>
      <c r="H553" s="104">
        <f>H554</f>
        <v>204.5</v>
      </c>
      <c r="I553" s="99">
        <f t="shared" si="47"/>
        <v>204.5</v>
      </c>
      <c r="J553" s="104">
        <f>J554</f>
        <v>0</v>
      </c>
      <c r="K553" s="96">
        <f t="shared" si="49"/>
        <v>204.5</v>
      </c>
      <c r="L553" s="106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26.25" customHeight="1">
      <c r="A554" s="145" t="s">
        <v>530</v>
      </c>
      <c r="B554" s="78">
        <v>806</v>
      </c>
      <c r="C554" s="67" t="s">
        <v>106</v>
      </c>
      <c r="D554" s="67" t="s">
        <v>106</v>
      </c>
      <c r="E554" s="67" t="s">
        <v>321</v>
      </c>
      <c r="F554" s="67" t="s">
        <v>831</v>
      </c>
      <c r="G554" s="96"/>
      <c r="H554" s="104">
        <v>204.5</v>
      </c>
      <c r="I554" s="99">
        <f t="shared" si="47"/>
        <v>204.5</v>
      </c>
      <c r="J554" s="104"/>
      <c r="K554" s="96">
        <f t="shared" si="49"/>
        <v>204.5</v>
      </c>
      <c r="L554" s="106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33" customHeight="1">
      <c r="A555" s="140" t="s">
        <v>178</v>
      </c>
      <c r="B555" s="78">
        <v>806</v>
      </c>
      <c r="C555" s="67" t="s">
        <v>106</v>
      </c>
      <c r="D555" s="67" t="s">
        <v>106</v>
      </c>
      <c r="E555" s="67" t="s">
        <v>851</v>
      </c>
      <c r="F555" s="67"/>
      <c r="G555" s="96"/>
      <c r="H555" s="104"/>
      <c r="I555" s="99"/>
      <c r="J555" s="104">
        <f>J556</f>
        <v>916.7</v>
      </c>
      <c r="K555" s="96">
        <f t="shared" si="49"/>
        <v>916.7</v>
      </c>
      <c r="L555" s="106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20.25" customHeight="1">
      <c r="A556" s="141" t="s">
        <v>854</v>
      </c>
      <c r="B556" s="78">
        <v>806</v>
      </c>
      <c r="C556" s="67" t="s">
        <v>106</v>
      </c>
      <c r="D556" s="67" t="s">
        <v>106</v>
      </c>
      <c r="E556" s="67" t="s">
        <v>851</v>
      </c>
      <c r="F556" s="67" t="s">
        <v>831</v>
      </c>
      <c r="G556" s="96"/>
      <c r="H556" s="104"/>
      <c r="I556" s="99"/>
      <c r="J556" s="104">
        <v>916.7</v>
      </c>
      <c r="K556" s="96">
        <f t="shared" si="49"/>
        <v>916.7</v>
      </c>
      <c r="L556" s="106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8.75" customHeight="1">
      <c r="A557" s="120" t="s">
        <v>470</v>
      </c>
      <c r="B557" s="78">
        <v>806</v>
      </c>
      <c r="C557" s="67" t="s">
        <v>106</v>
      </c>
      <c r="D557" s="67" t="s">
        <v>106</v>
      </c>
      <c r="E557" s="67" t="s">
        <v>471</v>
      </c>
      <c r="F557" s="67"/>
      <c r="G557" s="96">
        <f>SUM(G560,G558)</f>
        <v>2500</v>
      </c>
      <c r="H557" s="99">
        <f>SUM(H560,H558)</f>
        <v>0</v>
      </c>
      <c r="I557" s="99">
        <f t="shared" si="47"/>
        <v>2500</v>
      </c>
      <c r="J557" s="99">
        <f>SUM(J560,J558)</f>
        <v>0</v>
      </c>
      <c r="K557" s="96">
        <f t="shared" si="49"/>
        <v>2500</v>
      </c>
      <c r="L557" s="106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33.75" customHeight="1" hidden="1">
      <c r="A558" s="120" t="s">
        <v>544</v>
      </c>
      <c r="B558" s="78">
        <v>806</v>
      </c>
      <c r="C558" s="67" t="s">
        <v>106</v>
      </c>
      <c r="D558" s="67" t="s">
        <v>106</v>
      </c>
      <c r="E558" s="67" t="s">
        <v>545</v>
      </c>
      <c r="F558" s="67"/>
      <c r="G558" s="96">
        <f>G559</f>
        <v>0</v>
      </c>
      <c r="H558" s="99">
        <f>H559</f>
        <v>0</v>
      </c>
      <c r="I558" s="99">
        <f t="shared" si="47"/>
        <v>0</v>
      </c>
      <c r="J558" s="99">
        <f>J559</f>
        <v>0</v>
      </c>
      <c r="K558" s="96">
        <f t="shared" si="49"/>
        <v>0</v>
      </c>
      <c r="L558" s="106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8.75" customHeight="1" hidden="1">
      <c r="A559" s="124" t="s">
        <v>705</v>
      </c>
      <c r="B559" s="78">
        <v>806</v>
      </c>
      <c r="C559" s="67" t="s">
        <v>106</v>
      </c>
      <c r="D559" s="67" t="s">
        <v>106</v>
      </c>
      <c r="E559" s="67" t="s">
        <v>545</v>
      </c>
      <c r="F559" s="67" t="s">
        <v>337</v>
      </c>
      <c r="G559" s="96"/>
      <c r="H559" s="99"/>
      <c r="I559" s="99">
        <f t="shared" si="47"/>
        <v>0</v>
      </c>
      <c r="J559" s="99"/>
      <c r="K559" s="96">
        <f t="shared" si="49"/>
        <v>0</v>
      </c>
      <c r="L559" s="106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35.25" customHeight="1">
      <c r="A560" s="123" t="s">
        <v>753</v>
      </c>
      <c r="B560" s="78">
        <v>806</v>
      </c>
      <c r="C560" s="67" t="s">
        <v>106</v>
      </c>
      <c r="D560" s="67" t="s">
        <v>106</v>
      </c>
      <c r="E560" s="67" t="s">
        <v>144</v>
      </c>
      <c r="F560" s="67"/>
      <c r="G560" s="96">
        <f>SUM(G561)</f>
        <v>2500</v>
      </c>
      <c r="H560" s="99">
        <f>SUM(H561)</f>
        <v>0</v>
      </c>
      <c r="I560" s="99">
        <f t="shared" si="47"/>
        <v>2500</v>
      </c>
      <c r="J560" s="99">
        <f>SUM(J561)</f>
        <v>0</v>
      </c>
      <c r="K560" s="96">
        <f t="shared" si="49"/>
        <v>2500</v>
      </c>
      <c r="L560" s="106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32.25" customHeight="1">
      <c r="A561" s="145" t="s">
        <v>530</v>
      </c>
      <c r="B561" s="78">
        <v>806</v>
      </c>
      <c r="C561" s="67" t="s">
        <v>106</v>
      </c>
      <c r="D561" s="67" t="s">
        <v>106</v>
      </c>
      <c r="E561" s="67" t="s">
        <v>144</v>
      </c>
      <c r="F561" s="67" t="s">
        <v>831</v>
      </c>
      <c r="G561" s="96">
        <v>2500</v>
      </c>
      <c r="H561" s="104"/>
      <c r="I561" s="99">
        <f t="shared" si="47"/>
        <v>2500</v>
      </c>
      <c r="J561" s="104"/>
      <c r="K561" s="96">
        <f t="shared" si="49"/>
        <v>2500</v>
      </c>
      <c r="L561" s="106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20.25" customHeight="1">
      <c r="A562" s="146" t="s">
        <v>441</v>
      </c>
      <c r="B562" s="78">
        <v>806</v>
      </c>
      <c r="C562" s="67" t="s">
        <v>106</v>
      </c>
      <c r="D562" s="67" t="s">
        <v>106</v>
      </c>
      <c r="E562" s="67" t="s">
        <v>433</v>
      </c>
      <c r="F562" s="67"/>
      <c r="G562" s="96">
        <f>G563</f>
        <v>4179.7</v>
      </c>
      <c r="H562" s="99">
        <f>H563</f>
        <v>0</v>
      </c>
      <c r="I562" s="99">
        <f t="shared" si="47"/>
        <v>4179.7</v>
      </c>
      <c r="J562" s="99">
        <f>J563</f>
        <v>0</v>
      </c>
      <c r="K562" s="96">
        <f t="shared" si="49"/>
        <v>4179.7</v>
      </c>
      <c r="L562" s="106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20.25" customHeight="1">
      <c r="A563" s="146" t="s">
        <v>470</v>
      </c>
      <c r="B563" s="78">
        <v>806</v>
      </c>
      <c r="C563" s="67" t="s">
        <v>106</v>
      </c>
      <c r="D563" s="67" t="s">
        <v>106</v>
      </c>
      <c r="E563" s="67" t="s">
        <v>434</v>
      </c>
      <c r="F563" s="67"/>
      <c r="G563" s="96">
        <f>G564+G566</f>
        <v>4179.7</v>
      </c>
      <c r="H563" s="99">
        <f>H564+H566</f>
        <v>0</v>
      </c>
      <c r="I563" s="99">
        <f t="shared" si="47"/>
        <v>4179.7</v>
      </c>
      <c r="J563" s="99">
        <f>J564+J566</f>
        <v>0</v>
      </c>
      <c r="K563" s="96">
        <f t="shared" si="49"/>
        <v>4179.7</v>
      </c>
      <c r="L563" s="106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21.75" customHeight="1">
      <c r="A564" s="136" t="s">
        <v>279</v>
      </c>
      <c r="B564" s="78">
        <v>806</v>
      </c>
      <c r="C564" s="67" t="s">
        <v>106</v>
      </c>
      <c r="D564" s="67" t="s">
        <v>106</v>
      </c>
      <c r="E564" s="67" t="s">
        <v>446</v>
      </c>
      <c r="F564" s="67"/>
      <c r="G564" s="96">
        <f>SUM(G565)</f>
        <v>629.3</v>
      </c>
      <c r="H564" s="99">
        <f>SUM(H565)</f>
        <v>0</v>
      </c>
      <c r="I564" s="99">
        <f t="shared" si="47"/>
        <v>629.3</v>
      </c>
      <c r="J564" s="99">
        <f>SUM(J565)</f>
        <v>0</v>
      </c>
      <c r="K564" s="96">
        <f t="shared" si="49"/>
        <v>629.3</v>
      </c>
      <c r="L564" s="106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21.75" customHeight="1">
      <c r="A565" s="135" t="s">
        <v>530</v>
      </c>
      <c r="B565" s="78">
        <v>806</v>
      </c>
      <c r="C565" s="67" t="s">
        <v>106</v>
      </c>
      <c r="D565" s="67" t="s">
        <v>106</v>
      </c>
      <c r="E565" s="67" t="s">
        <v>446</v>
      </c>
      <c r="F565" s="67" t="s">
        <v>831</v>
      </c>
      <c r="G565" s="96">
        <v>629.3</v>
      </c>
      <c r="H565" s="104"/>
      <c r="I565" s="99">
        <f t="shared" si="47"/>
        <v>629.3</v>
      </c>
      <c r="J565" s="104"/>
      <c r="K565" s="96">
        <f t="shared" si="49"/>
        <v>629.3</v>
      </c>
      <c r="L565" s="106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7.25" customHeight="1">
      <c r="A566" s="136" t="s">
        <v>9</v>
      </c>
      <c r="B566" s="78">
        <v>806</v>
      </c>
      <c r="C566" s="67" t="s">
        <v>106</v>
      </c>
      <c r="D566" s="67" t="s">
        <v>106</v>
      </c>
      <c r="E566" s="67" t="s">
        <v>442</v>
      </c>
      <c r="F566" s="67"/>
      <c r="G566" s="96">
        <f>SUM(G567)</f>
        <v>3550.4</v>
      </c>
      <c r="H566" s="99">
        <f>SUM(H567)</f>
        <v>0</v>
      </c>
      <c r="I566" s="99">
        <f t="shared" si="47"/>
        <v>3550.4</v>
      </c>
      <c r="J566" s="99">
        <f>SUM(J567)</f>
        <v>0</v>
      </c>
      <c r="K566" s="96">
        <f t="shared" si="49"/>
        <v>3550.4</v>
      </c>
      <c r="L566" s="106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24" customHeight="1">
      <c r="A567" s="145" t="s">
        <v>530</v>
      </c>
      <c r="B567" s="78">
        <v>806</v>
      </c>
      <c r="C567" s="67" t="s">
        <v>106</v>
      </c>
      <c r="D567" s="67" t="s">
        <v>106</v>
      </c>
      <c r="E567" s="67" t="s">
        <v>442</v>
      </c>
      <c r="F567" s="67" t="s">
        <v>831</v>
      </c>
      <c r="G567" s="96">
        <v>3550.4</v>
      </c>
      <c r="H567" s="104"/>
      <c r="I567" s="99">
        <f t="shared" si="47"/>
        <v>3550.4</v>
      </c>
      <c r="J567" s="104"/>
      <c r="K567" s="96">
        <f t="shared" si="49"/>
        <v>3550.4</v>
      </c>
      <c r="L567" s="106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20.25" customHeight="1">
      <c r="A568" s="137" t="s">
        <v>161</v>
      </c>
      <c r="B568" s="78">
        <v>807</v>
      </c>
      <c r="C568" s="67"/>
      <c r="D568" s="67"/>
      <c r="E568" s="67"/>
      <c r="F568" s="67"/>
      <c r="G568" s="96">
        <f>SUM(G569,G588,G598,G603)</f>
        <v>94057.09999999999</v>
      </c>
      <c r="H568" s="99">
        <f>SUM(H569,H588,H598,H603)</f>
        <v>-22050.799999999996</v>
      </c>
      <c r="I568" s="99">
        <f t="shared" si="47"/>
        <v>72006.29999999999</v>
      </c>
      <c r="J568" s="99">
        <f>SUM(J569,J588,J598,J603)</f>
        <v>-3622.3</v>
      </c>
      <c r="K568" s="96">
        <f t="shared" si="49"/>
        <v>68383.99999999999</v>
      </c>
      <c r="L568" s="106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9.5" customHeight="1">
      <c r="A569" s="149" t="s">
        <v>65</v>
      </c>
      <c r="B569" s="78">
        <v>807</v>
      </c>
      <c r="C569" s="67" t="s">
        <v>24</v>
      </c>
      <c r="D569" s="67"/>
      <c r="E569" s="67"/>
      <c r="F569" s="67"/>
      <c r="G569" s="96">
        <f>SUM(G570,G577,G581)</f>
        <v>67182.09999999999</v>
      </c>
      <c r="H569" s="99">
        <f>SUM(H570,H577,H581)</f>
        <v>-22050.799999999996</v>
      </c>
      <c r="I569" s="99">
        <f t="shared" si="47"/>
        <v>45131.299999999996</v>
      </c>
      <c r="J569" s="99">
        <f>SUM(J570,J577,J581)</f>
        <v>-3622.3</v>
      </c>
      <c r="K569" s="96">
        <f t="shared" si="49"/>
        <v>41508.99999999999</v>
      </c>
      <c r="L569" s="106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36.75" customHeight="1">
      <c r="A570" s="136" t="s">
        <v>189</v>
      </c>
      <c r="B570" s="78">
        <v>807</v>
      </c>
      <c r="C570" s="67" t="s">
        <v>24</v>
      </c>
      <c r="D570" s="67" t="s">
        <v>28</v>
      </c>
      <c r="E570" s="67"/>
      <c r="F570" s="67"/>
      <c r="G570" s="96">
        <f>SUM(G571,G574)</f>
        <v>26238.7</v>
      </c>
      <c r="H570" s="99">
        <f>SUM(H571,H574)</f>
        <v>15.4</v>
      </c>
      <c r="I570" s="99">
        <f t="shared" si="47"/>
        <v>26254.100000000002</v>
      </c>
      <c r="J570" s="99">
        <f>SUM(J571,J574)</f>
        <v>2563.8</v>
      </c>
      <c r="K570" s="96">
        <f t="shared" si="49"/>
        <v>28817.9</v>
      </c>
      <c r="L570" s="106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50.25" customHeight="1">
      <c r="A571" s="124" t="s">
        <v>93</v>
      </c>
      <c r="B571" s="78">
        <v>807</v>
      </c>
      <c r="C571" s="67" t="s">
        <v>24</v>
      </c>
      <c r="D571" s="67" t="s">
        <v>28</v>
      </c>
      <c r="E571" s="67" t="s">
        <v>94</v>
      </c>
      <c r="F571" s="67"/>
      <c r="G571" s="96">
        <f aca="true" t="shared" si="52" ref="G571:J572">SUM(G572)</f>
        <v>25995.3</v>
      </c>
      <c r="H571" s="99">
        <f t="shared" si="52"/>
        <v>15.4</v>
      </c>
      <c r="I571" s="99">
        <f t="shared" si="47"/>
        <v>26010.7</v>
      </c>
      <c r="J571" s="99">
        <f t="shared" si="52"/>
        <v>2563.8</v>
      </c>
      <c r="K571" s="96">
        <f t="shared" si="49"/>
        <v>28574.5</v>
      </c>
      <c r="L571" s="106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8.75" customHeight="1">
      <c r="A572" s="124" t="s">
        <v>673</v>
      </c>
      <c r="B572" s="78">
        <v>807</v>
      </c>
      <c r="C572" s="67" t="s">
        <v>24</v>
      </c>
      <c r="D572" s="67" t="s">
        <v>28</v>
      </c>
      <c r="E572" s="67" t="s">
        <v>96</v>
      </c>
      <c r="F572" s="67"/>
      <c r="G572" s="96">
        <f t="shared" si="52"/>
        <v>25995.3</v>
      </c>
      <c r="H572" s="99">
        <f t="shared" si="52"/>
        <v>15.4</v>
      </c>
      <c r="I572" s="99">
        <f t="shared" si="47"/>
        <v>26010.7</v>
      </c>
      <c r="J572" s="99">
        <f t="shared" si="52"/>
        <v>2563.8</v>
      </c>
      <c r="K572" s="96">
        <f t="shared" si="49"/>
        <v>28574.5</v>
      </c>
      <c r="L572" s="106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8.75" customHeight="1">
      <c r="A573" s="120" t="s">
        <v>438</v>
      </c>
      <c r="B573" s="78">
        <v>807</v>
      </c>
      <c r="C573" s="67" t="s">
        <v>24</v>
      </c>
      <c r="D573" s="67" t="s">
        <v>28</v>
      </c>
      <c r="E573" s="67" t="s">
        <v>96</v>
      </c>
      <c r="F573" s="67" t="s">
        <v>277</v>
      </c>
      <c r="G573" s="96">
        <f>24820.6+1174.7</f>
        <v>25995.3</v>
      </c>
      <c r="H573" s="104">
        <v>15.4</v>
      </c>
      <c r="I573" s="99">
        <f t="shared" si="47"/>
        <v>26010.7</v>
      </c>
      <c r="J573" s="104">
        <f>2250+313.8</f>
        <v>2563.8</v>
      </c>
      <c r="K573" s="96">
        <f t="shared" si="49"/>
        <v>28574.5</v>
      </c>
      <c r="L573" s="106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8.75" customHeight="1">
      <c r="A574" s="120" t="s">
        <v>718</v>
      </c>
      <c r="B574" s="78">
        <v>807</v>
      </c>
      <c r="C574" s="67" t="s">
        <v>24</v>
      </c>
      <c r="D574" s="67" t="s">
        <v>28</v>
      </c>
      <c r="E574" s="67" t="s">
        <v>80</v>
      </c>
      <c r="F574" s="67"/>
      <c r="G574" s="96">
        <f aca="true" t="shared" si="53" ref="G574:J575">G575</f>
        <v>243.4</v>
      </c>
      <c r="H574" s="99">
        <f t="shared" si="53"/>
        <v>0</v>
      </c>
      <c r="I574" s="99">
        <f t="shared" si="47"/>
        <v>243.4</v>
      </c>
      <c r="J574" s="99">
        <f t="shared" si="53"/>
        <v>0</v>
      </c>
      <c r="K574" s="96">
        <f t="shared" si="49"/>
        <v>243.4</v>
      </c>
      <c r="L574" s="106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37.5" customHeight="1">
      <c r="A575" s="126" t="s">
        <v>754</v>
      </c>
      <c r="B575" s="78">
        <v>807</v>
      </c>
      <c r="C575" s="67" t="s">
        <v>24</v>
      </c>
      <c r="D575" s="67" t="s">
        <v>28</v>
      </c>
      <c r="E575" s="67" t="s">
        <v>412</v>
      </c>
      <c r="F575" s="67"/>
      <c r="G575" s="96">
        <f t="shared" si="53"/>
        <v>243.4</v>
      </c>
      <c r="H575" s="99">
        <f t="shared" si="53"/>
        <v>0</v>
      </c>
      <c r="I575" s="99">
        <f t="shared" si="47"/>
        <v>243.4</v>
      </c>
      <c r="J575" s="99">
        <f t="shared" si="53"/>
        <v>0</v>
      </c>
      <c r="K575" s="96">
        <f t="shared" si="49"/>
        <v>243.4</v>
      </c>
      <c r="L575" s="106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8.75" customHeight="1">
      <c r="A576" s="126" t="s">
        <v>711</v>
      </c>
      <c r="B576" s="78">
        <v>807</v>
      </c>
      <c r="C576" s="67" t="s">
        <v>24</v>
      </c>
      <c r="D576" s="67" t="s">
        <v>28</v>
      </c>
      <c r="E576" s="67" t="s">
        <v>412</v>
      </c>
      <c r="F576" s="67" t="s">
        <v>275</v>
      </c>
      <c r="G576" s="96">
        <v>243.4</v>
      </c>
      <c r="H576" s="104"/>
      <c r="I576" s="99">
        <f t="shared" si="47"/>
        <v>243.4</v>
      </c>
      <c r="J576" s="104"/>
      <c r="K576" s="96">
        <f t="shared" si="49"/>
        <v>243.4</v>
      </c>
      <c r="L576" s="106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20.25" customHeight="1">
      <c r="A577" s="136" t="s">
        <v>395</v>
      </c>
      <c r="B577" s="78">
        <v>807</v>
      </c>
      <c r="C577" s="67" t="s">
        <v>24</v>
      </c>
      <c r="D577" s="67" t="s">
        <v>111</v>
      </c>
      <c r="E577" s="67"/>
      <c r="F577" s="67"/>
      <c r="G577" s="96">
        <f aca="true" t="shared" si="54" ref="G577:J579">SUM(G578)</f>
        <v>40643.399999999994</v>
      </c>
      <c r="H577" s="99">
        <f t="shared" si="54"/>
        <v>-22066.199999999997</v>
      </c>
      <c r="I577" s="99">
        <f t="shared" si="47"/>
        <v>18577.199999999997</v>
      </c>
      <c r="J577" s="99">
        <f t="shared" si="54"/>
        <v>-6186.1</v>
      </c>
      <c r="K577" s="96">
        <f t="shared" si="49"/>
        <v>12391.099999999997</v>
      </c>
      <c r="L577" s="106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8.75" customHeight="1">
      <c r="A578" s="136" t="s">
        <v>715</v>
      </c>
      <c r="B578" s="78">
        <v>807</v>
      </c>
      <c r="C578" s="67" t="s">
        <v>24</v>
      </c>
      <c r="D578" s="67" t="s">
        <v>111</v>
      </c>
      <c r="E578" s="67" t="s">
        <v>394</v>
      </c>
      <c r="F578" s="67"/>
      <c r="G578" s="96">
        <f t="shared" si="54"/>
        <v>40643.399999999994</v>
      </c>
      <c r="H578" s="99">
        <f t="shared" si="54"/>
        <v>-22066.199999999997</v>
      </c>
      <c r="I578" s="99">
        <f aca="true" t="shared" si="55" ref="I578:I641">H578+G578</f>
        <v>18577.199999999997</v>
      </c>
      <c r="J578" s="99">
        <f t="shared" si="54"/>
        <v>-6186.1</v>
      </c>
      <c r="K578" s="96">
        <f t="shared" si="49"/>
        <v>12391.099999999997</v>
      </c>
      <c r="L578" s="106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9.5" customHeight="1">
      <c r="A579" s="136" t="s">
        <v>631</v>
      </c>
      <c r="B579" s="78">
        <v>807</v>
      </c>
      <c r="C579" s="67" t="s">
        <v>24</v>
      </c>
      <c r="D579" s="67" t="s">
        <v>111</v>
      </c>
      <c r="E579" s="67" t="s">
        <v>632</v>
      </c>
      <c r="F579" s="67"/>
      <c r="G579" s="96">
        <f t="shared" si="54"/>
        <v>40643.399999999994</v>
      </c>
      <c r="H579" s="99">
        <f t="shared" si="54"/>
        <v>-22066.199999999997</v>
      </c>
      <c r="I579" s="99">
        <f t="shared" si="55"/>
        <v>18577.199999999997</v>
      </c>
      <c r="J579" s="99">
        <f t="shared" si="54"/>
        <v>-6186.1</v>
      </c>
      <c r="K579" s="96">
        <f t="shared" si="49"/>
        <v>12391.099999999997</v>
      </c>
      <c r="L579" s="106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9.5" customHeight="1">
      <c r="A580" s="136" t="s">
        <v>227</v>
      </c>
      <c r="B580" s="78">
        <v>807</v>
      </c>
      <c r="C580" s="67" t="s">
        <v>24</v>
      </c>
      <c r="D580" s="67" t="s">
        <v>111</v>
      </c>
      <c r="E580" s="67" t="s">
        <v>632</v>
      </c>
      <c r="F580" s="67" t="s">
        <v>652</v>
      </c>
      <c r="G580" s="96">
        <f>18005.1+7742.6+921.8+375.2+14352.6+46.1-500-300</f>
        <v>40643.399999999994</v>
      </c>
      <c r="H580" s="104">
        <f>-3941.1-500-2119.4-3000-1908.8-46.9-250-300-10000</f>
        <v>-22066.199999999997</v>
      </c>
      <c r="I580" s="99">
        <f t="shared" si="55"/>
        <v>18577.199999999997</v>
      </c>
      <c r="J580" s="104">
        <f>-6186.1</f>
        <v>-6186.1</v>
      </c>
      <c r="K580" s="96">
        <f t="shared" si="49"/>
        <v>12391.099999999997</v>
      </c>
      <c r="L580" s="106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8.75" customHeight="1">
      <c r="A581" s="136" t="s">
        <v>397</v>
      </c>
      <c r="B581" s="78">
        <v>807</v>
      </c>
      <c r="C581" s="67" t="s">
        <v>24</v>
      </c>
      <c r="D581" s="67" t="s">
        <v>606</v>
      </c>
      <c r="E581" s="67"/>
      <c r="F581" s="67"/>
      <c r="G581" s="96">
        <f>SUM(G582,G585)</f>
        <v>300</v>
      </c>
      <c r="H581" s="99">
        <f>SUM(H582,H585)</f>
        <v>0</v>
      </c>
      <c r="I581" s="99">
        <f t="shared" si="55"/>
        <v>300</v>
      </c>
      <c r="J581" s="99">
        <f>SUM(J582,J585)</f>
        <v>0</v>
      </c>
      <c r="K581" s="96">
        <f t="shared" si="49"/>
        <v>300</v>
      </c>
      <c r="L581" s="106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9.5" customHeight="1">
      <c r="A582" s="146" t="s">
        <v>70</v>
      </c>
      <c r="B582" s="78">
        <v>807</v>
      </c>
      <c r="C582" s="67" t="s">
        <v>24</v>
      </c>
      <c r="D582" s="67" t="s">
        <v>606</v>
      </c>
      <c r="E582" s="67" t="s">
        <v>432</v>
      </c>
      <c r="F582" s="67"/>
      <c r="G582" s="96">
        <f>SUM(G584)</f>
        <v>300</v>
      </c>
      <c r="H582" s="99">
        <f>SUM(H584)</f>
        <v>0</v>
      </c>
      <c r="I582" s="99">
        <f t="shared" si="55"/>
        <v>300</v>
      </c>
      <c r="J582" s="99">
        <f>SUM(J584)</f>
        <v>0</v>
      </c>
      <c r="K582" s="96">
        <f t="shared" si="49"/>
        <v>300</v>
      </c>
      <c r="L582" s="106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8.75" customHeight="1">
      <c r="A583" s="124" t="s">
        <v>71</v>
      </c>
      <c r="B583" s="78">
        <v>807</v>
      </c>
      <c r="C583" s="67" t="s">
        <v>24</v>
      </c>
      <c r="D583" s="67" t="s">
        <v>606</v>
      </c>
      <c r="E583" s="67" t="s">
        <v>490</v>
      </c>
      <c r="F583" s="67"/>
      <c r="G583" s="96">
        <f>SUM(G584)</f>
        <v>300</v>
      </c>
      <c r="H583" s="99">
        <f>SUM(H584)</f>
        <v>0</v>
      </c>
      <c r="I583" s="99">
        <f t="shared" si="55"/>
        <v>300</v>
      </c>
      <c r="J583" s="99">
        <f>SUM(J584)</f>
        <v>0</v>
      </c>
      <c r="K583" s="96">
        <f t="shared" si="49"/>
        <v>300</v>
      </c>
      <c r="L583" s="106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8" customHeight="1">
      <c r="A584" s="120" t="s">
        <v>438</v>
      </c>
      <c r="B584" s="78">
        <v>807</v>
      </c>
      <c r="C584" s="67" t="s">
        <v>24</v>
      </c>
      <c r="D584" s="67" t="s">
        <v>606</v>
      </c>
      <c r="E584" s="67" t="s">
        <v>490</v>
      </c>
      <c r="F584" s="67" t="s">
        <v>277</v>
      </c>
      <c r="G584" s="96">
        <v>300</v>
      </c>
      <c r="H584" s="104"/>
      <c r="I584" s="99">
        <f t="shared" si="55"/>
        <v>300</v>
      </c>
      <c r="J584" s="104"/>
      <c r="K584" s="96">
        <f t="shared" si="49"/>
        <v>300</v>
      </c>
      <c r="L584" s="106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8" customHeight="1" hidden="1">
      <c r="A585" s="120" t="s">
        <v>79</v>
      </c>
      <c r="B585" s="78">
        <v>807</v>
      </c>
      <c r="C585" s="67" t="s">
        <v>24</v>
      </c>
      <c r="D585" s="67" t="s">
        <v>606</v>
      </c>
      <c r="E585" s="67" t="s">
        <v>80</v>
      </c>
      <c r="F585" s="67"/>
      <c r="G585" s="96">
        <f>G586</f>
        <v>0</v>
      </c>
      <c r="H585" s="104"/>
      <c r="I585" s="99">
        <f t="shared" si="55"/>
        <v>0</v>
      </c>
      <c r="J585" s="104"/>
      <c r="K585" s="96">
        <f t="shared" si="49"/>
        <v>0</v>
      </c>
      <c r="L585" s="106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32.25" customHeight="1" hidden="1">
      <c r="A586" s="126" t="s">
        <v>405</v>
      </c>
      <c r="B586" s="78">
        <v>807</v>
      </c>
      <c r="C586" s="67" t="s">
        <v>24</v>
      </c>
      <c r="D586" s="67" t="s">
        <v>606</v>
      </c>
      <c r="E586" s="67" t="s">
        <v>412</v>
      </c>
      <c r="F586" s="67"/>
      <c r="G586" s="96">
        <f>G587</f>
        <v>0</v>
      </c>
      <c r="H586" s="104"/>
      <c r="I586" s="99">
        <f t="shared" si="55"/>
        <v>0</v>
      </c>
      <c r="J586" s="104"/>
      <c r="K586" s="96">
        <f t="shared" si="49"/>
        <v>0</v>
      </c>
      <c r="L586" s="106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8" customHeight="1" hidden="1">
      <c r="A587" s="126" t="s">
        <v>223</v>
      </c>
      <c r="B587" s="78">
        <v>807</v>
      </c>
      <c r="C587" s="67" t="s">
        <v>24</v>
      </c>
      <c r="D587" s="67" t="s">
        <v>606</v>
      </c>
      <c r="E587" s="67" t="s">
        <v>412</v>
      </c>
      <c r="F587" s="67" t="s">
        <v>275</v>
      </c>
      <c r="G587" s="96"/>
      <c r="H587" s="104"/>
      <c r="I587" s="99">
        <f t="shared" si="55"/>
        <v>0</v>
      </c>
      <c r="J587" s="104"/>
      <c r="K587" s="96">
        <f t="shared" si="49"/>
        <v>0</v>
      </c>
      <c r="L587" s="106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8" customHeight="1" hidden="1">
      <c r="A588" s="137" t="s">
        <v>537</v>
      </c>
      <c r="B588" s="78">
        <v>807</v>
      </c>
      <c r="C588" s="67" t="s">
        <v>27</v>
      </c>
      <c r="D588" s="67"/>
      <c r="E588" s="67"/>
      <c r="F588" s="67"/>
      <c r="G588" s="96">
        <f>G589</f>
        <v>0</v>
      </c>
      <c r="H588" s="104"/>
      <c r="I588" s="99">
        <f t="shared" si="55"/>
        <v>0</v>
      </c>
      <c r="J588" s="104"/>
      <c r="K588" s="96">
        <f t="shared" si="49"/>
        <v>0</v>
      </c>
      <c r="L588" s="106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8" customHeight="1" hidden="1">
      <c r="A589" s="120" t="s">
        <v>855</v>
      </c>
      <c r="B589" s="78">
        <v>807</v>
      </c>
      <c r="C589" s="67" t="s">
        <v>27</v>
      </c>
      <c r="D589" s="67" t="s">
        <v>24</v>
      </c>
      <c r="E589" s="67"/>
      <c r="F589" s="67"/>
      <c r="G589" s="96">
        <f>G590+G595</f>
        <v>0</v>
      </c>
      <c r="H589" s="104"/>
      <c r="I589" s="99">
        <f t="shared" si="55"/>
        <v>0</v>
      </c>
      <c r="J589" s="104"/>
      <c r="K589" s="96">
        <f t="shared" si="49"/>
        <v>0</v>
      </c>
      <c r="L589" s="106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8" customHeight="1" hidden="1">
      <c r="A590" s="120" t="s">
        <v>857</v>
      </c>
      <c r="B590" s="78">
        <v>807</v>
      </c>
      <c r="C590" s="67" t="s">
        <v>27</v>
      </c>
      <c r="D590" s="67" t="s">
        <v>24</v>
      </c>
      <c r="E590" s="67" t="s">
        <v>856</v>
      </c>
      <c r="F590" s="67"/>
      <c r="G590" s="96">
        <f>G591+G593</f>
        <v>0</v>
      </c>
      <c r="H590" s="104"/>
      <c r="I590" s="99">
        <f t="shared" si="55"/>
        <v>0</v>
      </c>
      <c r="J590" s="104"/>
      <c r="K590" s="96">
        <f t="shared" si="49"/>
        <v>0</v>
      </c>
      <c r="L590" s="106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8" customHeight="1" hidden="1">
      <c r="A591" s="120" t="s">
        <v>859</v>
      </c>
      <c r="B591" s="78">
        <v>807</v>
      </c>
      <c r="C591" s="67" t="s">
        <v>27</v>
      </c>
      <c r="D591" s="67" t="s">
        <v>24</v>
      </c>
      <c r="E591" s="67" t="s">
        <v>858</v>
      </c>
      <c r="F591" s="67"/>
      <c r="G591" s="96">
        <f>G592</f>
        <v>0</v>
      </c>
      <c r="H591" s="104"/>
      <c r="I591" s="99">
        <f t="shared" si="55"/>
        <v>0</v>
      </c>
      <c r="J591" s="104"/>
      <c r="K591" s="96">
        <f t="shared" si="49"/>
        <v>0</v>
      </c>
      <c r="L591" s="106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8" customHeight="1" hidden="1">
      <c r="A592" s="124" t="s">
        <v>63</v>
      </c>
      <c r="B592" s="78">
        <v>807</v>
      </c>
      <c r="C592" s="67" t="s">
        <v>27</v>
      </c>
      <c r="D592" s="67" t="s">
        <v>24</v>
      </c>
      <c r="E592" s="67" t="s">
        <v>858</v>
      </c>
      <c r="F592" s="67" t="s">
        <v>660</v>
      </c>
      <c r="G592" s="96"/>
      <c r="H592" s="104"/>
      <c r="I592" s="99">
        <f t="shared" si="55"/>
        <v>0</v>
      </c>
      <c r="J592" s="104"/>
      <c r="K592" s="96">
        <f t="shared" si="49"/>
        <v>0</v>
      </c>
      <c r="L592" s="106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37.5" customHeight="1" hidden="1">
      <c r="A593" s="124" t="s">
        <v>701</v>
      </c>
      <c r="B593" s="78">
        <v>807</v>
      </c>
      <c r="C593" s="67" t="s">
        <v>27</v>
      </c>
      <c r="D593" s="67" t="s">
        <v>24</v>
      </c>
      <c r="E593" s="67" t="s">
        <v>680</v>
      </c>
      <c r="F593" s="67"/>
      <c r="G593" s="96">
        <f>SUM(G594)</f>
        <v>0</v>
      </c>
      <c r="H593" s="104"/>
      <c r="I593" s="99">
        <f t="shared" si="55"/>
        <v>0</v>
      </c>
      <c r="J593" s="104"/>
      <c r="K593" s="96">
        <f t="shared" si="49"/>
        <v>0</v>
      </c>
      <c r="L593" s="106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8.75" customHeight="1" hidden="1">
      <c r="A594" s="124" t="s">
        <v>63</v>
      </c>
      <c r="B594" s="78">
        <v>807</v>
      </c>
      <c r="C594" s="67" t="s">
        <v>27</v>
      </c>
      <c r="D594" s="67" t="s">
        <v>24</v>
      </c>
      <c r="E594" s="67" t="s">
        <v>680</v>
      </c>
      <c r="F594" s="67" t="s">
        <v>660</v>
      </c>
      <c r="G594" s="96"/>
      <c r="H594" s="104"/>
      <c r="I594" s="99">
        <f t="shared" si="55"/>
        <v>0</v>
      </c>
      <c r="J594" s="104"/>
      <c r="K594" s="96">
        <f aca="true" t="shared" si="56" ref="K594:K657">I594+J594</f>
        <v>0</v>
      </c>
      <c r="L594" s="106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8.75" customHeight="1" hidden="1">
      <c r="A595" s="124" t="s">
        <v>367</v>
      </c>
      <c r="B595" s="78">
        <v>807</v>
      </c>
      <c r="C595" s="67" t="s">
        <v>27</v>
      </c>
      <c r="D595" s="67" t="s">
        <v>24</v>
      </c>
      <c r="E595" s="67" t="s">
        <v>471</v>
      </c>
      <c r="F595" s="67"/>
      <c r="G595" s="96">
        <f>SUM(G596)</f>
        <v>0</v>
      </c>
      <c r="H595" s="104"/>
      <c r="I595" s="99">
        <f t="shared" si="55"/>
        <v>0</v>
      </c>
      <c r="J595" s="104"/>
      <c r="K595" s="96">
        <f t="shared" si="56"/>
        <v>0</v>
      </c>
      <c r="L595" s="106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39" customHeight="1" hidden="1">
      <c r="A596" s="124" t="s">
        <v>694</v>
      </c>
      <c r="B596" s="78">
        <v>807</v>
      </c>
      <c r="C596" s="67" t="s">
        <v>27</v>
      </c>
      <c r="D596" s="67" t="s">
        <v>24</v>
      </c>
      <c r="E596" s="67" t="s">
        <v>702</v>
      </c>
      <c r="F596" s="67"/>
      <c r="G596" s="96">
        <f>SUM(G597)</f>
        <v>0</v>
      </c>
      <c r="H596" s="104"/>
      <c r="I596" s="99">
        <f t="shared" si="55"/>
        <v>0</v>
      </c>
      <c r="J596" s="104"/>
      <c r="K596" s="96">
        <f t="shared" si="56"/>
        <v>0</v>
      </c>
      <c r="L596" s="106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8.75" customHeight="1" hidden="1">
      <c r="A597" s="124" t="s">
        <v>63</v>
      </c>
      <c r="B597" s="78">
        <v>807</v>
      </c>
      <c r="C597" s="67" t="s">
        <v>27</v>
      </c>
      <c r="D597" s="67" t="s">
        <v>24</v>
      </c>
      <c r="E597" s="67" t="s">
        <v>702</v>
      </c>
      <c r="F597" s="67" t="s">
        <v>660</v>
      </c>
      <c r="G597" s="96"/>
      <c r="H597" s="104"/>
      <c r="I597" s="99">
        <f t="shared" si="55"/>
        <v>0</v>
      </c>
      <c r="J597" s="104"/>
      <c r="K597" s="96">
        <f t="shared" si="56"/>
        <v>0</v>
      </c>
      <c r="L597" s="106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8.75" customHeight="1" hidden="1">
      <c r="A598" s="136" t="s">
        <v>454</v>
      </c>
      <c r="B598" s="78">
        <v>807</v>
      </c>
      <c r="C598" s="67" t="s">
        <v>625</v>
      </c>
      <c r="D598" s="67"/>
      <c r="E598" s="67"/>
      <c r="F598" s="67"/>
      <c r="G598" s="96">
        <f>G599</f>
        <v>0</v>
      </c>
      <c r="H598" s="104"/>
      <c r="I598" s="99">
        <f t="shared" si="55"/>
        <v>0</v>
      </c>
      <c r="J598" s="104"/>
      <c r="K598" s="96">
        <f t="shared" si="56"/>
        <v>0</v>
      </c>
      <c r="L598" s="106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8.75" customHeight="1" hidden="1">
      <c r="A599" s="136" t="s">
        <v>307</v>
      </c>
      <c r="B599" s="78">
        <v>807</v>
      </c>
      <c r="C599" s="67" t="s">
        <v>625</v>
      </c>
      <c r="D599" s="67" t="s">
        <v>625</v>
      </c>
      <c r="E599" s="67"/>
      <c r="F599" s="67"/>
      <c r="G599" s="96">
        <f>G600</f>
        <v>0</v>
      </c>
      <c r="H599" s="104"/>
      <c r="I599" s="99">
        <f t="shared" si="55"/>
        <v>0</v>
      </c>
      <c r="J599" s="104"/>
      <c r="K599" s="96">
        <f t="shared" si="56"/>
        <v>0</v>
      </c>
      <c r="L599" s="106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8.75" customHeight="1" hidden="1">
      <c r="A600" s="124" t="s">
        <v>286</v>
      </c>
      <c r="B600" s="78">
        <v>807</v>
      </c>
      <c r="C600" s="67" t="s">
        <v>625</v>
      </c>
      <c r="D600" s="67" t="s">
        <v>625</v>
      </c>
      <c r="E600" s="67" t="s">
        <v>591</v>
      </c>
      <c r="F600" s="67"/>
      <c r="G600" s="96">
        <f>G601</f>
        <v>0</v>
      </c>
      <c r="H600" s="104"/>
      <c r="I600" s="99">
        <f t="shared" si="55"/>
        <v>0</v>
      </c>
      <c r="J600" s="104"/>
      <c r="K600" s="96">
        <f t="shared" si="56"/>
        <v>0</v>
      </c>
      <c r="L600" s="106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8.75" customHeight="1" hidden="1">
      <c r="A601" s="146" t="s">
        <v>393</v>
      </c>
      <c r="B601" s="78">
        <v>807</v>
      </c>
      <c r="C601" s="67" t="s">
        <v>625</v>
      </c>
      <c r="D601" s="67" t="s">
        <v>625</v>
      </c>
      <c r="E601" s="67" t="s">
        <v>633</v>
      </c>
      <c r="F601" s="67"/>
      <c r="G601" s="96">
        <f>G602</f>
        <v>0</v>
      </c>
      <c r="H601" s="104"/>
      <c r="I601" s="99">
        <f t="shared" si="55"/>
        <v>0</v>
      </c>
      <c r="J601" s="104"/>
      <c r="K601" s="96">
        <f t="shared" si="56"/>
        <v>0</v>
      </c>
      <c r="L601" s="106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8.75" customHeight="1" hidden="1">
      <c r="A602" s="136" t="s">
        <v>653</v>
      </c>
      <c r="B602" s="78">
        <v>807</v>
      </c>
      <c r="C602" s="67" t="s">
        <v>625</v>
      </c>
      <c r="D602" s="67" t="s">
        <v>625</v>
      </c>
      <c r="E602" s="67" t="s">
        <v>633</v>
      </c>
      <c r="F602" s="67" t="s">
        <v>652</v>
      </c>
      <c r="G602" s="96"/>
      <c r="H602" s="104"/>
      <c r="I602" s="99">
        <f t="shared" si="55"/>
        <v>0</v>
      </c>
      <c r="J602" s="104"/>
      <c r="K602" s="96">
        <f t="shared" si="56"/>
        <v>0</v>
      </c>
      <c r="L602" s="106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8.75" customHeight="1">
      <c r="A603" s="136" t="s">
        <v>532</v>
      </c>
      <c r="B603" s="78">
        <v>807</v>
      </c>
      <c r="C603" s="67" t="s">
        <v>606</v>
      </c>
      <c r="D603" s="67"/>
      <c r="E603" s="67"/>
      <c r="F603" s="67"/>
      <c r="G603" s="96">
        <f aca="true" t="shared" si="57" ref="G603:J606">G604</f>
        <v>26875</v>
      </c>
      <c r="H603" s="99">
        <f t="shared" si="57"/>
        <v>0</v>
      </c>
      <c r="I603" s="99">
        <f t="shared" si="55"/>
        <v>26875</v>
      </c>
      <c r="J603" s="99">
        <f t="shared" si="57"/>
        <v>0</v>
      </c>
      <c r="K603" s="96">
        <f t="shared" si="56"/>
        <v>26875</v>
      </c>
      <c r="L603" s="106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8.75" customHeight="1">
      <c r="A604" s="136" t="s">
        <v>834</v>
      </c>
      <c r="B604" s="78">
        <v>807</v>
      </c>
      <c r="C604" s="67" t="s">
        <v>606</v>
      </c>
      <c r="D604" s="67" t="s">
        <v>24</v>
      </c>
      <c r="E604" s="67"/>
      <c r="F604" s="67"/>
      <c r="G604" s="96">
        <f t="shared" si="57"/>
        <v>26875</v>
      </c>
      <c r="H604" s="99">
        <f t="shared" si="57"/>
        <v>0</v>
      </c>
      <c r="I604" s="99">
        <f t="shared" si="55"/>
        <v>26875</v>
      </c>
      <c r="J604" s="99">
        <f t="shared" si="57"/>
        <v>0</v>
      </c>
      <c r="K604" s="96">
        <f t="shared" si="56"/>
        <v>26875</v>
      </c>
      <c r="L604" s="106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8.75" customHeight="1">
      <c r="A605" s="136" t="s">
        <v>835</v>
      </c>
      <c r="B605" s="78">
        <v>807</v>
      </c>
      <c r="C605" s="67" t="s">
        <v>606</v>
      </c>
      <c r="D605" s="67" t="s">
        <v>24</v>
      </c>
      <c r="E605" s="67" t="s">
        <v>224</v>
      </c>
      <c r="F605" s="67"/>
      <c r="G605" s="96">
        <f t="shared" si="57"/>
        <v>26875</v>
      </c>
      <c r="H605" s="99">
        <f t="shared" si="57"/>
        <v>0</v>
      </c>
      <c r="I605" s="99">
        <f t="shared" si="55"/>
        <v>26875</v>
      </c>
      <c r="J605" s="99">
        <f t="shared" si="57"/>
        <v>0</v>
      </c>
      <c r="K605" s="96">
        <f t="shared" si="56"/>
        <v>26875</v>
      </c>
      <c r="L605" s="106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8.75" customHeight="1">
      <c r="A606" s="124" t="s">
        <v>226</v>
      </c>
      <c r="B606" s="78">
        <v>807</v>
      </c>
      <c r="C606" s="67" t="s">
        <v>606</v>
      </c>
      <c r="D606" s="67" t="s">
        <v>24</v>
      </c>
      <c r="E606" s="67" t="s">
        <v>225</v>
      </c>
      <c r="F606" s="67"/>
      <c r="G606" s="96">
        <f t="shared" si="57"/>
        <v>26875</v>
      </c>
      <c r="H606" s="99">
        <f t="shared" si="57"/>
        <v>0</v>
      </c>
      <c r="I606" s="99">
        <f t="shared" si="55"/>
        <v>26875</v>
      </c>
      <c r="J606" s="99">
        <f t="shared" si="57"/>
        <v>0</v>
      </c>
      <c r="K606" s="96">
        <f t="shared" si="56"/>
        <v>26875</v>
      </c>
      <c r="L606" s="106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8.75" customHeight="1">
      <c r="A607" s="136" t="s">
        <v>227</v>
      </c>
      <c r="B607" s="78">
        <v>807</v>
      </c>
      <c r="C607" s="67" t="s">
        <v>606</v>
      </c>
      <c r="D607" s="67" t="s">
        <v>24</v>
      </c>
      <c r="E607" s="67" t="s">
        <v>225</v>
      </c>
      <c r="F607" s="67" t="s">
        <v>652</v>
      </c>
      <c r="G607" s="96">
        <v>26875</v>
      </c>
      <c r="H607" s="104"/>
      <c r="I607" s="99">
        <f t="shared" si="55"/>
        <v>26875</v>
      </c>
      <c r="J607" s="104"/>
      <c r="K607" s="96">
        <f t="shared" si="56"/>
        <v>26875</v>
      </c>
      <c r="L607" s="106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47" customFormat="1" ht="19.5" customHeight="1">
      <c r="A608" s="137" t="s">
        <v>533</v>
      </c>
      <c r="B608" s="78">
        <v>808</v>
      </c>
      <c r="C608" s="67"/>
      <c r="D608" s="67"/>
      <c r="E608" s="67"/>
      <c r="F608" s="67"/>
      <c r="G608" s="96">
        <f>SUM(G624,G643,G614,G609,G706)</f>
        <v>265091.30000000005</v>
      </c>
      <c r="H608" s="99">
        <f>SUM(H624,H643,H614,H609,H706)</f>
        <v>152</v>
      </c>
      <c r="I608" s="99">
        <f t="shared" si="55"/>
        <v>265243.30000000005</v>
      </c>
      <c r="J608" s="99">
        <f>SUM(J624,J643,J614,J609,J706,J698)</f>
        <v>25769.999999999996</v>
      </c>
      <c r="K608" s="96">
        <f t="shared" si="56"/>
        <v>291013.30000000005</v>
      </c>
      <c r="L608" s="106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12" s="38" customFormat="1" ht="19.5" customHeight="1" hidden="1">
      <c r="A609" s="149" t="s">
        <v>65</v>
      </c>
      <c r="B609" s="78">
        <v>808</v>
      </c>
      <c r="C609" s="67" t="s">
        <v>24</v>
      </c>
      <c r="D609" s="67"/>
      <c r="E609" s="67"/>
      <c r="F609" s="67"/>
      <c r="G609" s="96">
        <f aca="true" t="shared" si="58" ref="G609:J612">G610</f>
        <v>0</v>
      </c>
      <c r="H609" s="99">
        <f t="shared" si="58"/>
        <v>0</v>
      </c>
      <c r="I609" s="99">
        <f t="shared" si="55"/>
        <v>0</v>
      </c>
      <c r="J609" s="99">
        <f t="shared" si="58"/>
        <v>0</v>
      </c>
      <c r="K609" s="96">
        <f t="shared" si="56"/>
        <v>0</v>
      </c>
      <c r="L609" s="106"/>
    </row>
    <row r="610" spans="1:12" s="38" customFormat="1" ht="19.5" customHeight="1" hidden="1">
      <c r="A610" s="136" t="s">
        <v>397</v>
      </c>
      <c r="B610" s="78">
        <v>808</v>
      </c>
      <c r="C610" s="67" t="s">
        <v>24</v>
      </c>
      <c r="D610" s="67" t="s">
        <v>606</v>
      </c>
      <c r="E610" s="67"/>
      <c r="F610" s="67"/>
      <c r="G610" s="96">
        <f t="shared" si="58"/>
        <v>0</v>
      </c>
      <c r="H610" s="99">
        <f t="shared" si="58"/>
        <v>0</v>
      </c>
      <c r="I610" s="99">
        <f t="shared" si="55"/>
        <v>0</v>
      </c>
      <c r="J610" s="99">
        <f t="shared" si="58"/>
        <v>0</v>
      </c>
      <c r="K610" s="96">
        <f t="shared" si="56"/>
        <v>0</v>
      </c>
      <c r="L610" s="106"/>
    </row>
    <row r="611" spans="1:12" s="38" customFormat="1" ht="19.5" customHeight="1" hidden="1">
      <c r="A611" s="146" t="s">
        <v>70</v>
      </c>
      <c r="B611" s="78">
        <v>808</v>
      </c>
      <c r="C611" s="67" t="s">
        <v>24</v>
      </c>
      <c r="D611" s="67" t="s">
        <v>606</v>
      </c>
      <c r="E611" s="67" t="s">
        <v>432</v>
      </c>
      <c r="F611" s="67"/>
      <c r="G611" s="96">
        <f t="shared" si="58"/>
        <v>0</v>
      </c>
      <c r="H611" s="99">
        <f t="shared" si="58"/>
        <v>0</v>
      </c>
      <c r="I611" s="99">
        <f t="shared" si="55"/>
        <v>0</v>
      </c>
      <c r="J611" s="99">
        <f t="shared" si="58"/>
        <v>0</v>
      </c>
      <c r="K611" s="96">
        <f t="shared" si="56"/>
        <v>0</v>
      </c>
      <c r="L611" s="106"/>
    </row>
    <row r="612" spans="1:12" s="38" customFormat="1" ht="19.5" customHeight="1" hidden="1">
      <c r="A612" s="124" t="s">
        <v>71</v>
      </c>
      <c r="B612" s="78">
        <v>808</v>
      </c>
      <c r="C612" s="67" t="s">
        <v>24</v>
      </c>
      <c r="D612" s="67" t="s">
        <v>606</v>
      </c>
      <c r="E612" s="67" t="s">
        <v>490</v>
      </c>
      <c r="F612" s="67"/>
      <c r="G612" s="96">
        <f t="shared" si="58"/>
        <v>0</v>
      </c>
      <c r="H612" s="99">
        <f t="shared" si="58"/>
        <v>0</v>
      </c>
      <c r="I612" s="99">
        <f t="shared" si="55"/>
        <v>0</v>
      </c>
      <c r="J612" s="99">
        <f t="shared" si="58"/>
        <v>0</v>
      </c>
      <c r="K612" s="96">
        <f t="shared" si="56"/>
        <v>0</v>
      </c>
      <c r="L612" s="106"/>
    </row>
    <row r="613" spans="1:12" s="38" customFormat="1" ht="19.5" customHeight="1" hidden="1">
      <c r="A613" s="120" t="s">
        <v>438</v>
      </c>
      <c r="B613" s="78">
        <v>808</v>
      </c>
      <c r="C613" s="67" t="s">
        <v>24</v>
      </c>
      <c r="D613" s="67" t="s">
        <v>606</v>
      </c>
      <c r="E613" s="67" t="s">
        <v>490</v>
      </c>
      <c r="F613" s="67" t="s">
        <v>277</v>
      </c>
      <c r="G613" s="96"/>
      <c r="H613" s="99"/>
      <c r="I613" s="99">
        <f t="shared" si="55"/>
        <v>0</v>
      </c>
      <c r="J613" s="99"/>
      <c r="K613" s="96">
        <f t="shared" si="56"/>
        <v>0</v>
      </c>
      <c r="L613" s="106"/>
    </row>
    <row r="614" spans="1:12" s="38" customFormat="1" ht="19.5" customHeight="1">
      <c r="A614" s="137" t="s">
        <v>537</v>
      </c>
      <c r="B614" s="78">
        <v>808</v>
      </c>
      <c r="C614" s="67" t="s">
        <v>27</v>
      </c>
      <c r="D614" s="67"/>
      <c r="E614" s="67"/>
      <c r="F614" s="67"/>
      <c r="G614" s="96">
        <f>G615</f>
        <v>0</v>
      </c>
      <c r="H614" s="99">
        <f>H615</f>
        <v>0</v>
      </c>
      <c r="I614" s="99">
        <f t="shared" si="55"/>
        <v>0</v>
      </c>
      <c r="J614" s="99">
        <f>J615</f>
        <v>374.59999999999997</v>
      </c>
      <c r="K614" s="96">
        <f t="shared" si="56"/>
        <v>374.59999999999997</v>
      </c>
      <c r="L614" s="106"/>
    </row>
    <row r="615" spans="1:12" s="38" customFormat="1" ht="19.5" customHeight="1">
      <c r="A615" s="120" t="s">
        <v>855</v>
      </c>
      <c r="B615" s="78">
        <v>808</v>
      </c>
      <c r="C615" s="67" t="s">
        <v>27</v>
      </c>
      <c r="D615" s="67" t="s">
        <v>24</v>
      </c>
      <c r="E615" s="67"/>
      <c r="F615" s="67"/>
      <c r="G615" s="96">
        <f>G616+G621</f>
        <v>0</v>
      </c>
      <c r="H615" s="99">
        <f>H616+H621</f>
        <v>0</v>
      </c>
      <c r="I615" s="99">
        <f t="shared" si="55"/>
        <v>0</v>
      </c>
      <c r="J615" s="99">
        <f>J616+J621</f>
        <v>374.59999999999997</v>
      </c>
      <c r="K615" s="96">
        <f t="shared" si="56"/>
        <v>374.59999999999997</v>
      </c>
      <c r="L615" s="106"/>
    </row>
    <row r="616" spans="1:12" s="38" customFormat="1" ht="19.5" customHeight="1">
      <c r="A616" s="120" t="s">
        <v>857</v>
      </c>
      <c r="B616" s="78">
        <v>808</v>
      </c>
      <c r="C616" s="67" t="s">
        <v>27</v>
      </c>
      <c r="D616" s="67" t="s">
        <v>24</v>
      </c>
      <c r="E616" s="67" t="s">
        <v>856</v>
      </c>
      <c r="F616" s="67"/>
      <c r="G616" s="96">
        <f>G617+G619</f>
        <v>0</v>
      </c>
      <c r="H616" s="99">
        <f>H617+H619</f>
        <v>0</v>
      </c>
      <c r="I616" s="99">
        <f t="shared" si="55"/>
        <v>0</v>
      </c>
      <c r="J616" s="99">
        <f>J617+J619</f>
        <v>355.9</v>
      </c>
      <c r="K616" s="96">
        <f t="shared" si="56"/>
        <v>355.9</v>
      </c>
      <c r="L616" s="106"/>
    </row>
    <row r="617" spans="1:12" s="38" customFormat="1" ht="19.5" customHeight="1" hidden="1">
      <c r="A617" s="120" t="s">
        <v>859</v>
      </c>
      <c r="B617" s="78">
        <v>808</v>
      </c>
      <c r="C617" s="67" t="s">
        <v>27</v>
      </c>
      <c r="D617" s="67" t="s">
        <v>24</v>
      </c>
      <c r="E617" s="67" t="s">
        <v>858</v>
      </c>
      <c r="F617" s="67"/>
      <c r="G617" s="96">
        <f>G618</f>
        <v>0</v>
      </c>
      <c r="H617" s="99">
        <f>H618</f>
        <v>0</v>
      </c>
      <c r="I617" s="99">
        <f t="shared" si="55"/>
        <v>0</v>
      </c>
      <c r="J617" s="99">
        <f>J618</f>
        <v>0</v>
      </c>
      <c r="K617" s="96">
        <f t="shared" si="56"/>
        <v>0</v>
      </c>
      <c r="L617" s="106"/>
    </row>
    <row r="618" spans="1:12" s="38" customFormat="1" ht="19.5" customHeight="1" hidden="1">
      <c r="A618" s="124" t="s">
        <v>63</v>
      </c>
      <c r="B618" s="78">
        <v>808</v>
      </c>
      <c r="C618" s="67" t="s">
        <v>27</v>
      </c>
      <c r="D618" s="67" t="s">
        <v>24</v>
      </c>
      <c r="E618" s="67" t="s">
        <v>858</v>
      </c>
      <c r="F618" s="67" t="s">
        <v>660</v>
      </c>
      <c r="G618" s="96"/>
      <c r="H618" s="99"/>
      <c r="I618" s="99">
        <f t="shared" si="55"/>
        <v>0</v>
      </c>
      <c r="J618" s="99"/>
      <c r="K618" s="96">
        <f t="shared" si="56"/>
        <v>0</v>
      </c>
      <c r="L618" s="106"/>
    </row>
    <row r="619" spans="1:12" s="38" customFormat="1" ht="36.75" customHeight="1">
      <c r="A619" s="124" t="s">
        <v>58</v>
      </c>
      <c r="B619" s="78">
        <v>808</v>
      </c>
      <c r="C619" s="67" t="s">
        <v>27</v>
      </c>
      <c r="D619" s="67" t="s">
        <v>24</v>
      </c>
      <c r="E619" s="67" t="s">
        <v>680</v>
      </c>
      <c r="F619" s="67"/>
      <c r="G619" s="96">
        <f>SUM(G620)</f>
        <v>0</v>
      </c>
      <c r="H619" s="99">
        <f>SUM(H620)</f>
        <v>0</v>
      </c>
      <c r="I619" s="99">
        <f t="shared" si="55"/>
        <v>0</v>
      </c>
      <c r="J619" s="99">
        <f>SUM(J620)</f>
        <v>355.9</v>
      </c>
      <c r="K619" s="96">
        <f t="shared" si="56"/>
        <v>355.9</v>
      </c>
      <c r="L619" s="106"/>
    </row>
    <row r="620" spans="1:12" s="38" customFormat="1" ht="19.5" customHeight="1">
      <c r="A620" s="124" t="s">
        <v>63</v>
      </c>
      <c r="B620" s="78">
        <v>808</v>
      </c>
      <c r="C620" s="67" t="s">
        <v>27</v>
      </c>
      <c r="D620" s="67" t="s">
        <v>24</v>
      </c>
      <c r="E620" s="67" t="s">
        <v>680</v>
      </c>
      <c r="F620" s="67" t="s">
        <v>660</v>
      </c>
      <c r="G620" s="96"/>
      <c r="H620" s="99"/>
      <c r="I620" s="99">
        <f t="shared" si="55"/>
        <v>0</v>
      </c>
      <c r="J620" s="99">
        <v>355.9</v>
      </c>
      <c r="K620" s="96">
        <f t="shared" si="56"/>
        <v>355.9</v>
      </c>
      <c r="L620" s="106"/>
    </row>
    <row r="621" spans="1:12" s="38" customFormat="1" ht="19.5" customHeight="1">
      <c r="A621" s="124" t="s">
        <v>367</v>
      </c>
      <c r="B621" s="78">
        <v>808</v>
      </c>
      <c r="C621" s="67" t="s">
        <v>27</v>
      </c>
      <c r="D621" s="67" t="s">
        <v>24</v>
      </c>
      <c r="E621" s="67" t="s">
        <v>471</v>
      </c>
      <c r="F621" s="67"/>
      <c r="G621" s="96">
        <f aca="true" t="shared" si="59" ref="G621:J622">SUM(G622)</f>
        <v>0</v>
      </c>
      <c r="H621" s="99">
        <f t="shared" si="59"/>
        <v>0</v>
      </c>
      <c r="I621" s="99">
        <f t="shared" si="55"/>
        <v>0</v>
      </c>
      <c r="J621" s="99">
        <f t="shared" si="59"/>
        <v>18.7</v>
      </c>
      <c r="K621" s="96">
        <f t="shared" si="56"/>
        <v>18.7</v>
      </c>
      <c r="L621" s="106"/>
    </row>
    <row r="622" spans="1:12" s="38" customFormat="1" ht="54" customHeight="1">
      <c r="A622" s="124" t="s">
        <v>57</v>
      </c>
      <c r="B622" s="78">
        <v>808</v>
      </c>
      <c r="C622" s="67" t="s">
        <v>27</v>
      </c>
      <c r="D622" s="67" t="s">
        <v>24</v>
      </c>
      <c r="E622" s="67" t="s">
        <v>702</v>
      </c>
      <c r="F622" s="67"/>
      <c r="G622" s="96">
        <f t="shared" si="59"/>
        <v>0</v>
      </c>
      <c r="H622" s="99">
        <f t="shared" si="59"/>
        <v>0</v>
      </c>
      <c r="I622" s="99">
        <f t="shared" si="55"/>
        <v>0</v>
      </c>
      <c r="J622" s="99">
        <f t="shared" si="59"/>
        <v>18.7</v>
      </c>
      <c r="K622" s="96">
        <f t="shared" si="56"/>
        <v>18.7</v>
      </c>
      <c r="L622" s="106"/>
    </row>
    <row r="623" spans="1:12" s="38" customFormat="1" ht="19.5" customHeight="1">
      <c r="A623" s="124" t="s">
        <v>63</v>
      </c>
      <c r="B623" s="78">
        <v>808</v>
      </c>
      <c r="C623" s="67" t="s">
        <v>27</v>
      </c>
      <c r="D623" s="67" t="s">
        <v>24</v>
      </c>
      <c r="E623" s="67" t="s">
        <v>702</v>
      </c>
      <c r="F623" s="67" t="s">
        <v>660</v>
      </c>
      <c r="G623" s="96"/>
      <c r="H623" s="99"/>
      <c r="I623" s="99">
        <f t="shared" si="55"/>
        <v>0</v>
      </c>
      <c r="J623" s="99">
        <v>18.7</v>
      </c>
      <c r="K623" s="96">
        <f t="shared" si="56"/>
        <v>18.7</v>
      </c>
      <c r="L623" s="106"/>
    </row>
    <row r="624" spans="1:26" s="48" customFormat="1" ht="18.75" customHeight="1">
      <c r="A624" s="136" t="s">
        <v>507</v>
      </c>
      <c r="B624" s="78">
        <v>808</v>
      </c>
      <c r="C624" s="67" t="s">
        <v>625</v>
      </c>
      <c r="D624" s="67"/>
      <c r="E624" s="67"/>
      <c r="F624" s="67"/>
      <c r="G624" s="96">
        <f>SUM(G625,G631,G635)</f>
        <v>44964.8</v>
      </c>
      <c r="H624" s="99">
        <f>SUM(H625,H631,H635)</f>
        <v>24.9</v>
      </c>
      <c r="I624" s="99">
        <f t="shared" si="55"/>
        <v>44989.700000000004</v>
      </c>
      <c r="J624" s="99">
        <f>SUM(J625,J631,J635)</f>
        <v>3684.8</v>
      </c>
      <c r="K624" s="96">
        <f t="shared" si="56"/>
        <v>48674.50000000001</v>
      </c>
      <c r="L624" s="106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8" customHeight="1">
      <c r="A625" s="136" t="s">
        <v>773</v>
      </c>
      <c r="B625" s="78">
        <v>808</v>
      </c>
      <c r="C625" s="67" t="s">
        <v>625</v>
      </c>
      <c r="D625" s="67" t="s">
        <v>25</v>
      </c>
      <c r="E625" s="67"/>
      <c r="F625" s="67"/>
      <c r="G625" s="96">
        <f>SUM(G626)</f>
        <v>44711.8</v>
      </c>
      <c r="H625" s="99">
        <f>SUM(H626)</f>
        <v>24.9</v>
      </c>
      <c r="I625" s="99">
        <f t="shared" si="55"/>
        <v>44736.700000000004</v>
      </c>
      <c r="J625" s="99">
        <f>SUM(J626)</f>
        <v>3684.8</v>
      </c>
      <c r="K625" s="96">
        <f t="shared" si="56"/>
        <v>48421.50000000001</v>
      </c>
      <c r="L625" s="106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8" customHeight="1">
      <c r="A626" s="136" t="s">
        <v>228</v>
      </c>
      <c r="B626" s="78">
        <v>808</v>
      </c>
      <c r="C626" s="67" t="s">
        <v>625</v>
      </c>
      <c r="D626" s="67" t="s">
        <v>25</v>
      </c>
      <c r="E626" s="67" t="s">
        <v>562</v>
      </c>
      <c r="F626" s="67"/>
      <c r="G626" s="96">
        <f>SUM(G627,G629)</f>
        <v>44711.8</v>
      </c>
      <c r="H626" s="99">
        <f>SUM(H627,H629)</f>
        <v>24.9</v>
      </c>
      <c r="I626" s="99">
        <f t="shared" si="55"/>
        <v>44736.700000000004</v>
      </c>
      <c r="J626" s="99">
        <f>SUM(J627,J629)</f>
        <v>3684.8</v>
      </c>
      <c r="K626" s="96">
        <f t="shared" si="56"/>
        <v>48421.50000000001</v>
      </c>
      <c r="L626" s="106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8" customHeight="1">
      <c r="A627" s="136" t="s">
        <v>677</v>
      </c>
      <c r="B627" s="78">
        <v>808</v>
      </c>
      <c r="C627" s="67" t="s">
        <v>625</v>
      </c>
      <c r="D627" s="67" t="s">
        <v>25</v>
      </c>
      <c r="E627" s="67" t="s">
        <v>596</v>
      </c>
      <c r="F627" s="67"/>
      <c r="G627" s="96">
        <f>SUM(G628)</f>
        <v>875.8</v>
      </c>
      <c r="H627" s="99">
        <f>SUM(H628)</f>
        <v>0</v>
      </c>
      <c r="I627" s="99">
        <f t="shared" si="55"/>
        <v>875.8</v>
      </c>
      <c r="J627" s="99">
        <f>SUM(J628)</f>
        <v>0</v>
      </c>
      <c r="K627" s="96">
        <f t="shared" si="56"/>
        <v>875.8</v>
      </c>
      <c r="L627" s="106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8" customHeight="1">
      <c r="A628" s="124" t="s">
        <v>63</v>
      </c>
      <c r="B628" s="78">
        <v>808</v>
      </c>
      <c r="C628" s="67" t="s">
        <v>625</v>
      </c>
      <c r="D628" s="67" t="s">
        <v>25</v>
      </c>
      <c r="E628" s="67" t="s">
        <v>596</v>
      </c>
      <c r="F628" s="67" t="s">
        <v>660</v>
      </c>
      <c r="G628" s="96">
        <v>875.8</v>
      </c>
      <c r="H628" s="104"/>
      <c r="I628" s="99">
        <f t="shared" si="55"/>
        <v>875.8</v>
      </c>
      <c r="J628" s="104"/>
      <c r="K628" s="96">
        <f t="shared" si="56"/>
        <v>875.8</v>
      </c>
      <c r="L628" s="106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8" customHeight="1">
      <c r="A629" s="136" t="s">
        <v>655</v>
      </c>
      <c r="B629" s="78">
        <v>808</v>
      </c>
      <c r="C629" s="67" t="s">
        <v>625</v>
      </c>
      <c r="D629" s="67" t="s">
        <v>25</v>
      </c>
      <c r="E629" s="67" t="s">
        <v>563</v>
      </c>
      <c r="F629" s="67"/>
      <c r="G629" s="96">
        <f>SUM(G630)</f>
        <v>43836</v>
      </c>
      <c r="H629" s="99">
        <f>SUM(H630)</f>
        <v>24.9</v>
      </c>
      <c r="I629" s="99">
        <f t="shared" si="55"/>
        <v>43860.9</v>
      </c>
      <c r="J629" s="99">
        <f>SUM(J630)</f>
        <v>3684.8</v>
      </c>
      <c r="K629" s="96">
        <f t="shared" si="56"/>
        <v>47545.700000000004</v>
      </c>
      <c r="L629" s="106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8" customHeight="1">
      <c r="A630" s="124" t="s">
        <v>63</v>
      </c>
      <c r="B630" s="78">
        <v>808</v>
      </c>
      <c r="C630" s="67" t="s">
        <v>625</v>
      </c>
      <c r="D630" s="67" t="s">
        <v>25</v>
      </c>
      <c r="E630" s="67" t="s">
        <v>563</v>
      </c>
      <c r="F630" s="67" t="s">
        <v>660</v>
      </c>
      <c r="G630" s="96">
        <v>43836</v>
      </c>
      <c r="H630" s="104">
        <v>24.9</v>
      </c>
      <c r="I630" s="99">
        <f t="shared" si="55"/>
        <v>43860.9</v>
      </c>
      <c r="J630" s="104">
        <f>-89.7+3428.9+345.6</f>
        <v>3684.8</v>
      </c>
      <c r="K630" s="96">
        <f t="shared" si="56"/>
        <v>47545.700000000004</v>
      </c>
      <c r="L630" s="106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8" customHeight="1" hidden="1">
      <c r="A631" s="136" t="s">
        <v>307</v>
      </c>
      <c r="B631" s="78">
        <v>808</v>
      </c>
      <c r="C631" s="67" t="s">
        <v>625</v>
      </c>
      <c r="D631" s="67" t="s">
        <v>625</v>
      </c>
      <c r="E631" s="67"/>
      <c r="F631" s="67"/>
      <c r="G631" s="96">
        <f>G632</f>
        <v>0</v>
      </c>
      <c r="H631" s="104"/>
      <c r="I631" s="99">
        <f t="shared" si="55"/>
        <v>0</v>
      </c>
      <c r="J631" s="104"/>
      <c r="K631" s="96">
        <f t="shared" si="56"/>
        <v>0</v>
      </c>
      <c r="L631" s="106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8" customHeight="1" hidden="1">
      <c r="A632" s="124" t="s">
        <v>286</v>
      </c>
      <c r="B632" s="78">
        <v>808</v>
      </c>
      <c r="C632" s="67" t="s">
        <v>625</v>
      </c>
      <c r="D632" s="67" t="s">
        <v>625</v>
      </c>
      <c r="E632" s="67" t="s">
        <v>591</v>
      </c>
      <c r="F632" s="67"/>
      <c r="G632" s="96">
        <f>G633</f>
        <v>0</v>
      </c>
      <c r="H632" s="104"/>
      <c r="I632" s="99">
        <f t="shared" si="55"/>
        <v>0</v>
      </c>
      <c r="J632" s="104"/>
      <c r="K632" s="96">
        <f t="shared" si="56"/>
        <v>0</v>
      </c>
      <c r="L632" s="106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8" customHeight="1" hidden="1">
      <c r="A633" s="146" t="s">
        <v>393</v>
      </c>
      <c r="B633" s="78">
        <v>808</v>
      </c>
      <c r="C633" s="67" t="s">
        <v>625</v>
      </c>
      <c r="D633" s="67" t="s">
        <v>625</v>
      </c>
      <c r="E633" s="67" t="s">
        <v>633</v>
      </c>
      <c r="F633" s="67"/>
      <c r="G633" s="96">
        <f>G634</f>
        <v>0</v>
      </c>
      <c r="H633" s="104"/>
      <c r="I633" s="99">
        <f t="shared" si="55"/>
        <v>0</v>
      </c>
      <c r="J633" s="104"/>
      <c r="K633" s="96">
        <f t="shared" si="56"/>
        <v>0</v>
      </c>
      <c r="L633" s="106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8" customHeight="1" hidden="1">
      <c r="A634" s="136" t="s">
        <v>653</v>
      </c>
      <c r="B634" s="78">
        <v>808</v>
      </c>
      <c r="C634" s="67" t="s">
        <v>625</v>
      </c>
      <c r="D634" s="67" t="s">
        <v>625</v>
      </c>
      <c r="E634" s="67" t="s">
        <v>633</v>
      </c>
      <c r="F634" s="67" t="s">
        <v>652</v>
      </c>
      <c r="G634" s="96"/>
      <c r="H634" s="104"/>
      <c r="I634" s="99">
        <f t="shared" si="55"/>
        <v>0</v>
      </c>
      <c r="J634" s="104"/>
      <c r="K634" s="96">
        <f t="shared" si="56"/>
        <v>0</v>
      </c>
      <c r="L634" s="106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7.25" customHeight="1">
      <c r="A635" s="136" t="s">
        <v>781</v>
      </c>
      <c r="B635" s="29">
        <v>808</v>
      </c>
      <c r="C635" s="79" t="s">
        <v>625</v>
      </c>
      <c r="D635" s="79" t="s">
        <v>106</v>
      </c>
      <c r="E635" s="79"/>
      <c r="F635" s="79"/>
      <c r="G635" s="96">
        <f>G639+G636</f>
        <v>253</v>
      </c>
      <c r="H635" s="99">
        <f>H639+H636</f>
        <v>0</v>
      </c>
      <c r="I635" s="99">
        <f t="shared" si="55"/>
        <v>253</v>
      </c>
      <c r="J635" s="99">
        <f>J639+J636</f>
        <v>0</v>
      </c>
      <c r="K635" s="96">
        <f t="shared" si="56"/>
        <v>253</v>
      </c>
      <c r="L635" s="106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7.25" customHeight="1">
      <c r="A636" s="120" t="s">
        <v>470</v>
      </c>
      <c r="B636" s="78">
        <v>808</v>
      </c>
      <c r="C636" s="67" t="s">
        <v>625</v>
      </c>
      <c r="D636" s="67" t="s">
        <v>106</v>
      </c>
      <c r="E636" s="67" t="s">
        <v>471</v>
      </c>
      <c r="F636" s="79"/>
      <c r="G636" s="96">
        <f aca="true" t="shared" si="60" ref="G636:J637">G637</f>
        <v>159</v>
      </c>
      <c r="H636" s="99">
        <f t="shared" si="60"/>
        <v>0</v>
      </c>
      <c r="I636" s="99">
        <f t="shared" si="55"/>
        <v>159</v>
      </c>
      <c r="J636" s="99">
        <f t="shared" si="60"/>
        <v>0</v>
      </c>
      <c r="K636" s="96">
        <f t="shared" si="56"/>
        <v>159</v>
      </c>
      <c r="L636" s="106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35.25" customHeight="1">
      <c r="A637" s="136" t="s">
        <v>828</v>
      </c>
      <c r="B637" s="78">
        <v>808</v>
      </c>
      <c r="C637" s="67" t="s">
        <v>625</v>
      </c>
      <c r="D637" s="67" t="s">
        <v>106</v>
      </c>
      <c r="E637" s="67" t="s">
        <v>546</v>
      </c>
      <c r="F637" s="79"/>
      <c r="G637" s="96">
        <f t="shared" si="60"/>
        <v>159</v>
      </c>
      <c r="H637" s="99">
        <f t="shared" si="60"/>
        <v>0</v>
      </c>
      <c r="I637" s="99">
        <f t="shared" si="55"/>
        <v>159</v>
      </c>
      <c r="J637" s="99">
        <f t="shared" si="60"/>
        <v>0</v>
      </c>
      <c r="K637" s="96">
        <f t="shared" si="56"/>
        <v>159</v>
      </c>
      <c r="L637" s="106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7.25" customHeight="1">
      <c r="A638" s="120" t="s">
        <v>619</v>
      </c>
      <c r="B638" s="78">
        <v>808</v>
      </c>
      <c r="C638" s="67" t="s">
        <v>625</v>
      </c>
      <c r="D638" s="67" t="s">
        <v>106</v>
      </c>
      <c r="E638" s="67" t="s">
        <v>546</v>
      </c>
      <c r="F638" s="79" t="s">
        <v>193</v>
      </c>
      <c r="G638" s="96">
        <v>159</v>
      </c>
      <c r="H638" s="104"/>
      <c r="I638" s="99">
        <f t="shared" si="55"/>
        <v>159</v>
      </c>
      <c r="J638" s="104"/>
      <c r="K638" s="96">
        <f t="shared" si="56"/>
        <v>159</v>
      </c>
      <c r="L638" s="106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7.25" customHeight="1">
      <c r="A639" s="146" t="s">
        <v>441</v>
      </c>
      <c r="B639" s="29">
        <v>808</v>
      </c>
      <c r="C639" s="79" t="s">
        <v>625</v>
      </c>
      <c r="D639" s="79" t="s">
        <v>106</v>
      </c>
      <c r="E639" s="67" t="s">
        <v>433</v>
      </c>
      <c r="F639" s="67"/>
      <c r="G639" s="96">
        <f aca="true" t="shared" si="61" ref="G639:J641">G640</f>
        <v>94</v>
      </c>
      <c r="H639" s="99">
        <f t="shared" si="61"/>
        <v>0</v>
      </c>
      <c r="I639" s="99">
        <f t="shared" si="55"/>
        <v>94</v>
      </c>
      <c r="J639" s="99">
        <f t="shared" si="61"/>
        <v>0</v>
      </c>
      <c r="K639" s="96">
        <f t="shared" si="56"/>
        <v>94</v>
      </c>
      <c r="L639" s="106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7.25" customHeight="1">
      <c r="A640" s="146" t="s">
        <v>470</v>
      </c>
      <c r="B640" s="29">
        <v>808</v>
      </c>
      <c r="C640" s="79" t="s">
        <v>625</v>
      </c>
      <c r="D640" s="79" t="s">
        <v>106</v>
      </c>
      <c r="E640" s="67" t="s">
        <v>434</v>
      </c>
      <c r="F640" s="67"/>
      <c r="G640" s="96">
        <f t="shared" si="61"/>
        <v>94</v>
      </c>
      <c r="H640" s="99">
        <f t="shared" si="61"/>
        <v>0</v>
      </c>
      <c r="I640" s="99">
        <f t="shared" si="55"/>
        <v>94</v>
      </c>
      <c r="J640" s="99">
        <f t="shared" si="61"/>
        <v>0</v>
      </c>
      <c r="K640" s="96">
        <f t="shared" si="56"/>
        <v>94</v>
      </c>
      <c r="L640" s="106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7.25" customHeight="1">
      <c r="A641" s="136" t="s">
        <v>279</v>
      </c>
      <c r="B641" s="29">
        <v>808</v>
      </c>
      <c r="C641" s="79" t="s">
        <v>625</v>
      </c>
      <c r="D641" s="79" t="s">
        <v>106</v>
      </c>
      <c r="E641" s="67" t="s">
        <v>446</v>
      </c>
      <c r="F641" s="67"/>
      <c r="G641" s="96">
        <f t="shared" si="61"/>
        <v>94</v>
      </c>
      <c r="H641" s="99">
        <f t="shared" si="61"/>
        <v>0</v>
      </c>
      <c r="I641" s="99">
        <f t="shared" si="55"/>
        <v>94</v>
      </c>
      <c r="J641" s="99">
        <f t="shared" si="61"/>
        <v>0</v>
      </c>
      <c r="K641" s="96">
        <f t="shared" si="56"/>
        <v>94</v>
      </c>
      <c r="L641" s="106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20.25" customHeight="1">
      <c r="A642" s="120" t="s">
        <v>619</v>
      </c>
      <c r="B642" s="29">
        <v>808</v>
      </c>
      <c r="C642" s="79" t="s">
        <v>625</v>
      </c>
      <c r="D642" s="79" t="s">
        <v>106</v>
      </c>
      <c r="E642" s="67" t="s">
        <v>446</v>
      </c>
      <c r="F642" s="67" t="s">
        <v>193</v>
      </c>
      <c r="G642" s="96">
        <v>94</v>
      </c>
      <c r="H642" s="104"/>
      <c r="I642" s="99">
        <f aca="true" t="shared" si="62" ref="I642:I713">H642+G642</f>
        <v>94</v>
      </c>
      <c r="J642" s="104"/>
      <c r="K642" s="96">
        <f t="shared" si="56"/>
        <v>94</v>
      </c>
      <c r="L642" s="106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21" customHeight="1">
      <c r="A643" s="136" t="s">
        <v>379</v>
      </c>
      <c r="B643" s="78">
        <v>808</v>
      </c>
      <c r="C643" s="67" t="s">
        <v>109</v>
      </c>
      <c r="D643" s="67"/>
      <c r="E643" s="67"/>
      <c r="F643" s="67"/>
      <c r="G643" s="96">
        <f>SUM(G644,G683)</f>
        <v>219513.30000000002</v>
      </c>
      <c r="H643" s="99">
        <f>SUM(H644,H683)</f>
        <v>127.10000000000001</v>
      </c>
      <c r="I643" s="99">
        <f t="shared" si="62"/>
        <v>219640.40000000002</v>
      </c>
      <c r="J643" s="99">
        <f>SUM(J644,J683)</f>
        <v>21450.5</v>
      </c>
      <c r="K643" s="96">
        <f t="shared" si="56"/>
        <v>241090.90000000002</v>
      </c>
      <c r="L643" s="106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8" customHeight="1">
      <c r="A644" s="136" t="s">
        <v>785</v>
      </c>
      <c r="B644" s="78">
        <v>808</v>
      </c>
      <c r="C644" s="67" t="s">
        <v>109</v>
      </c>
      <c r="D644" s="67" t="s">
        <v>24</v>
      </c>
      <c r="E644" s="67"/>
      <c r="F644" s="67"/>
      <c r="G644" s="96">
        <f>SUM(G645,G654,G659,G664,G671,G674)</f>
        <v>206215.40000000002</v>
      </c>
      <c r="H644" s="99">
        <f>SUM(H645,H654,H659,H664,H671,H674)</f>
        <v>118.2</v>
      </c>
      <c r="I644" s="99">
        <f t="shared" si="62"/>
        <v>206333.60000000003</v>
      </c>
      <c r="J644" s="99">
        <f>SUM(J645,J654,J659,J664,J671,J674)</f>
        <v>20503</v>
      </c>
      <c r="K644" s="96">
        <f t="shared" si="56"/>
        <v>226836.60000000003</v>
      </c>
      <c r="L644" s="106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9.5" customHeight="1">
      <c r="A645" s="123" t="s">
        <v>637</v>
      </c>
      <c r="B645" s="78">
        <v>808</v>
      </c>
      <c r="C645" s="67" t="s">
        <v>109</v>
      </c>
      <c r="D645" s="67" t="s">
        <v>24</v>
      </c>
      <c r="E645" s="67" t="s">
        <v>230</v>
      </c>
      <c r="F645" s="67"/>
      <c r="G645" s="96">
        <f>SUM(G648,G650,G646)</f>
        <v>85786.2</v>
      </c>
      <c r="H645" s="99">
        <f>SUM(H648,H650,H646)</f>
        <v>0</v>
      </c>
      <c r="I645" s="99">
        <f t="shared" si="62"/>
        <v>85786.2</v>
      </c>
      <c r="J645" s="99">
        <f>SUM(J648,J650,J646)</f>
        <v>6916</v>
      </c>
      <c r="K645" s="96">
        <f t="shared" si="56"/>
        <v>92702.2</v>
      </c>
      <c r="L645" s="106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8" customHeight="1">
      <c r="A646" s="123" t="s">
        <v>350</v>
      </c>
      <c r="B646" s="78">
        <v>808</v>
      </c>
      <c r="C646" s="57" t="s">
        <v>109</v>
      </c>
      <c r="D646" s="57" t="s">
        <v>24</v>
      </c>
      <c r="E646" s="57" t="s">
        <v>353</v>
      </c>
      <c r="F646" s="57"/>
      <c r="G646" s="96">
        <f>G647</f>
        <v>5582.5</v>
      </c>
      <c r="H646" s="99">
        <f>H647</f>
        <v>0</v>
      </c>
      <c r="I646" s="99">
        <f t="shared" si="62"/>
        <v>5582.5</v>
      </c>
      <c r="J646" s="99">
        <f>J647</f>
        <v>-30.30000000000001</v>
      </c>
      <c r="K646" s="96">
        <f t="shared" si="56"/>
        <v>5552.2</v>
      </c>
      <c r="L646" s="106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35.25" customHeight="1">
      <c r="A647" s="127" t="s">
        <v>18</v>
      </c>
      <c r="B647" s="78">
        <v>808</v>
      </c>
      <c r="C647" s="57" t="s">
        <v>109</v>
      </c>
      <c r="D647" s="57" t="s">
        <v>24</v>
      </c>
      <c r="E647" s="57" t="s">
        <v>353</v>
      </c>
      <c r="F647" s="57" t="s">
        <v>375</v>
      </c>
      <c r="G647" s="96">
        <f>5266.5+316</f>
        <v>5582.5</v>
      </c>
      <c r="H647" s="104"/>
      <c r="I647" s="99">
        <f t="shared" si="62"/>
        <v>5582.5</v>
      </c>
      <c r="J647" s="104">
        <f>169.7-200</f>
        <v>-30.30000000000001</v>
      </c>
      <c r="K647" s="96">
        <f t="shared" si="56"/>
        <v>5552.2</v>
      </c>
      <c r="L647" s="106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9.5" customHeight="1">
      <c r="A648" s="136" t="s">
        <v>677</v>
      </c>
      <c r="B648" s="78">
        <v>808</v>
      </c>
      <c r="C648" s="67" t="s">
        <v>109</v>
      </c>
      <c r="D648" s="67" t="s">
        <v>24</v>
      </c>
      <c r="E648" s="67" t="s">
        <v>602</v>
      </c>
      <c r="F648" s="67"/>
      <c r="G648" s="96">
        <f>SUM(G649)</f>
        <v>1465</v>
      </c>
      <c r="H648" s="99">
        <f>SUM(H649)</f>
        <v>0</v>
      </c>
      <c r="I648" s="99">
        <f t="shared" si="62"/>
        <v>1465</v>
      </c>
      <c r="J648" s="99">
        <f>SUM(J649)</f>
        <v>0</v>
      </c>
      <c r="K648" s="96">
        <f t="shared" si="56"/>
        <v>1465</v>
      </c>
      <c r="L648" s="106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20.25" customHeight="1">
      <c r="A649" s="124" t="s">
        <v>63</v>
      </c>
      <c r="B649" s="78">
        <v>808</v>
      </c>
      <c r="C649" s="67" t="s">
        <v>109</v>
      </c>
      <c r="D649" s="67" t="s">
        <v>24</v>
      </c>
      <c r="E649" s="67" t="s">
        <v>602</v>
      </c>
      <c r="F649" s="67" t="s">
        <v>660</v>
      </c>
      <c r="G649" s="96">
        <v>1465</v>
      </c>
      <c r="H649" s="104"/>
      <c r="I649" s="99">
        <f t="shared" si="62"/>
        <v>1465</v>
      </c>
      <c r="J649" s="104"/>
      <c r="K649" s="96">
        <f t="shared" si="56"/>
        <v>1465</v>
      </c>
      <c r="L649" s="106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9.5" customHeight="1">
      <c r="A650" s="136" t="s">
        <v>655</v>
      </c>
      <c r="B650" s="78">
        <v>808</v>
      </c>
      <c r="C650" s="67" t="s">
        <v>109</v>
      </c>
      <c r="D650" s="67" t="s">
        <v>24</v>
      </c>
      <c r="E650" s="67" t="s">
        <v>231</v>
      </c>
      <c r="F650" s="67"/>
      <c r="G650" s="96">
        <f>G651+G652+G653</f>
        <v>78738.7</v>
      </c>
      <c r="H650" s="99">
        <f>SUM(H651)</f>
        <v>0</v>
      </c>
      <c r="I650" s="99">
        <f t="shared" si="62"/>
        <v>78738.7</v>
      </c>
      <c r="J650" s="99">
        <f>SUM(J651)</f>
        <v>6946.3</v>
      </c>
      <c r="K650" s="96">
        <f t="shared" si="56"/>
        <v>85685</v>
      </c>
      <c r="L650" s="106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6.5">
      <c r="A651" s="124" t="s">
        <v>229</v>
      </c>
      <c r="B651" s="78">
        <v>808</v>
      </c>
      <c r="C651" s="67" t="s">
        <v>109</v>
      </c>
      <c r="D651" s="67" t="s">
        <v>24</v>
      </c>
      <c r="E651" s="67" t="s">
        <v>231</v>
      </c>
      <c r="F651" s="67" t="s">
        <v>660</v>
      </c>
      <c r="G651" s="96">
        <v>78738.7</v>
      </c>
      <c r="H651" s="104"/>
      <c r="I651" s="99">
        <f t="shared" si="62"/>
        <v>78738.7</v>
      </c>
      <c r="J651" s="104">
        <f>5540.6+1199.9+205.8</f>
        <v>6946.3</v>
      </c>
      <c r="K651" s="96">
        <f t="shared" si="56"/>
        <v>85685</v>
      </c>
      <c r="L651" s="106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33.75" customHeight="1" hidden="1">
      <c r="A652" s="151" t="s">
        <v>667</v>
      </c>
      <c r="B652" s="83">
        <v>808</v>
      </c>
      <c r="C652" s="84" t="s">
        <v>109</v>
      </c>
      <c r="D652" s="84" t="s">
        <v>24</v>
      </c>
      <c r="E652" s="84" t="s">
        <v>231</v>
      </c>
      <c r="F652" s="84" t="s">
        <v>666</v>
      </c>
      <c r="G652" s="99"/>
      <c r="H652" s="110" t="s">
        <v>670</v>
      </c>
      <c r="I652" s="99" t="e">
        <f t="shared" si="62"/>
        <v>#VALUE!</v>
      </c>
      <c r="J652" s="110"/>
      <c r="K652" s="96" t="e">
        <f t="shared" si="56"/>
        <v>#VALUE!</v>
      </c>
      <c r="L652" s="106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21" customHeight="1" hidden="1">
      <c r="A653" s="152" t="s">
        <v>671</v>
      </c>
      <c r="B653" s="78">
        <v>808</v>
      </c>
      <c r="C653" s="67" t="s">
        <v>109</v>
      </c>
      <c r="D653" s="67" t="s">
        <v>24</v>
      </c>
      <c r="E653" s="67" t="s">
        <v>231</v>
      </c>
      <c r="F653" s="67" t="s">
        <v>672</v>
      </c>
      <c r="G653" s="96"/>
      <c r="H653" s="104"/>
      <c r="I653" s="99">
        <f t="shared" si="62"/>
        <v>0</v>
      </c>
      <c r="J653" s="104"/>
      <c r="K653" s="96">
        <f t="shared" si="56"/>
        <v>0</v>
      </c>
      <c r="L653" s="106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20.25" customHeight="1">
      <c r="A654" s="136" t="s">
        <v>786</v>
      </c>
      <c r="B654" s="78">
        <v>808</v>
      </c>
      <c r="C654" s="67" t="s">
        <v>109</v>
      </c>
      <c r="D654" s="67" t="s">
        <v>24</v>
      </c>
      <c r="E654" s="67" t="s">
        <v>232</v>
      </c>
      <c r="F654" s="67"/>
      <c r="G654" s="96">
        <f>SUM(G655,G657)</f>
        <v>35432.2</v>
      </c>
      <c r="H654" s="99">
        <f>SUM(H655,H657)</f>
        <v>0</v>
      </c>
      <c r="I654" s="99">
        <f t="shared" si="62"/>
        <v>35432.2</v>
      </c>
      <c r="J654" s="99">
        <f>SUM(J655,J657)</f>
        <v>1997.3000000000002</v>
      </c>
      <c r="K654" s="96">
        <f t="shared" si="56"/>
        <v>37429.5</v>
      </c>
      <c r="L654" s="106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8" customHeight="1">
      <c r="A655" s="136" t="s">
        <v>677</v>
      </c>
      <c r="B655" s="78">
        <v>808</v>
      </c>
      <c r="C655" s="67" t="s">
        <v>109</v>
      </c>
      <c r="D655" s="67" t="s">
        <v>24</v>
      </c>
      <c r="E655" s="67" t="s">
        <v>603</v>
      </c>
      <c r="F655" s="67"/>
      <c r="G655" s="96">
        <f>SUM(G656)</f>
        <v>1331.6</v>
      </c>
      <c r="H655" s="99">
        <f>SUM(H656)</f>
        <v>0</v>
      </c>
      <c r="I655" s="99">
        <f t="shared" si="62"/>
        <v>1331.6</v>
      </c>
      <c r="J655" s="99">
        <f>SUM(J656)</f>
        <v>0</v>
      </c>
      <c r="K655" s="96">
        <f t="shared" si="56"/>
        <v>1331.6</v>
      </c>
      <c r="L655" s="106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20.25" customHeight="1">
      <c r="A656" s="124" t="s">
        <v>63</v>
      </c>
      <c r="B656" s="78">
        <v>808</v>
      </c>
      <c r="C656" s="67" t="s">
        <v>109</v>
      </c>
      <c r="D656" s="67" t="s">
        <v>24</v>
      </c>
      <c r="E656" s="67" t="s">
        <v>603</v>
      </c>
      <c r="F656" s="67" t="s">
        <v>660</v>
      </c>
      <c r="G656" s="96">
        <v>1331.6</v>
      </c>
      <c r="H656" s="104"/>
      <c r="I656" s="99">
        <f t="shared" si="62"/>
        <v>1331.6</v>
      </c>
      <c r="J656" s="104"/>
      <c r="K656" s="96">
        <f t="shared" si="56"/>
        <v>1331.6</v>
      </c>
      <c r="L656" s="106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9.5" customHeight="1">
      <c r="A657" s="136" t="s">
        <v>655</v>
      </c>
      <c r="B657" s="78">
        <v>808</v>
      </c>
      <c r="C657" s="67" t="s">
        <v>109</v>
      </c>
      <c r="D657" s="67" t="s">
        <v>24</v>
      </c>
      <c r="E657" s="67" t="s">
        <v>233</v>
      </c>
      <c r="F657" s="67"/>
      <c r="G657" s="96">
        <f>SUM(G658)</f>
        <v>34100.6</v>
      </c>
      <c r="H657" s="99">
        <f>SUM(H658)</f>
        <v>0</v>
      </c>
      <c r="I657" s="99">
        <f t="shared" si="62"/>
        <v>34100.6</v>
      </c>
      <c r="J657" s="99">
        <f>SUM(J658)</f>
        <v>1997.3000000000002</v>
      </c>
      <c r="K657" s="96">
        <f t="shared" si="56"/>
        <v>36097.9</v>
      </c>
      <c r="L657" s="106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8.75" customHeight="1">
      <c r="A658" s="124" t="s">
        <v>63</v>
      </c>
      <c r="B658" s="78">
        <v>808</v>
      </c>
      <c r="C658" s="67" t="s">
        <v>109</v>
      </c>
      <c r="D658" s="67" t="s">
        <v>24</v>
      </c>
      <c r="E658" s="67" t="s">
        <v>233</v>
      </c>
      <c r="F658" s="67" t="s">
        <v>660</v>
      </c>
      <c r="G658" s="96">
        <v>34100.6</v>
      </c>
      <c r="H658" s="104"/>
      <c r="I658" s="99">
        <f t="shared" si="62"/>
        <v>34100.6</v>
      </c>
      <c r="J658" s="104">
        <f>1619.4+377.9</f>
        <v>1997.3000000000002</v>
      </c>
      <c r="K658" s="96">
        <f aca="true" t="shared" si="63" ref="K658:K721">I658+J658</f>
        <v>36097.9</v>
      </c>
      <c r="L658" s="106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6.5">
      <c r="A659" s="136" t="s">
        <v>787</v>
      </c>
      <c r="B659" s="78">
        <v>808</v>
      </c>
      <c r="C659" s="67" t="s">
        <v>109</v>
      </c>
      <c r="D659" s="67" t="s">
        <v>24</v>
      </c>
      <c r="E659" s="67" t="s">
        <v>234</v>
      </c>
      <c r="F659" s="67"/>
      <c r="G659" s="96">
        <f>SUM(G660,G662)</f>
        <v>40265.200000000004</v>
      </c>
      <c r="H659" s="99">
        <f>SUM(H660,H662)</f>
        <v>110</v>
      </c>
      <c r="I659" s="99">
        <f t="shared" si="62"/>
        <v>40375.200000000004</v>
      </c>
      <c r="J659" s="99">
        <f>SUM(J660,J662)</f>
        <v>3190.2000000000003</v>
      </c>
      <c r="K659" s="96">
        <f t="shared" si="63"/>
        <v>43565.4</v>
      </c>
      <c r="L659" s="106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8" customHeight="1">
      <c r="A660" s="136" t="s">
        <v>677</v>
      </c>
      <c r="B660" s="78">
        <v>808</v>
      </c>
      <c r="C660" s="67" t="s">
        <v>109</v>
      </c>
      <c r="D660" s="67" t="s">
        <v>24</v>
      </c>
      <c r="E660" s="67" t="s">
        <v>616</v>
      </c>
      <c r="F660" s="67"/>
      <c r="G660" s="96">
        <f>SUM(G661)</f>
        <v>459.3</v>
      </c>
      <c r="H660" s="99">
        <f>SUM(H661)</f>
        <v>0</v>
      </c>
      <c r="I660" s="99">
        <f t="shared" si="62"/>
        <v>459.3</v>
      </c>
      <c r="J660" s="99">
        <f>SUM(J661)</f>
        <v>0</v>
      </c>
      <c r="K660" s="96">
        <f t="shared" si="63"/>
        <v>459.3</v>
      </c>
      <c r="L660" s="106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8" customHeight="1">
      <c r="A661" s="124" t="s">
        <v>63</v>
      </c>
      <c r="B661" s="78">
        <v>808</v>
      </c>
      <c r="C661" s="67" t="s">
        <v>109</v>
      </c>
      <c r="D661" s="67" t="s">
        <v>24</v>
      </c>
      <c r="E661" s="67" t="s">
        <v>616</v>
      </c>
      <c r="F661" s="67" t="s">
        <v>660</v>
      </c>
      <c r="G661" s="96">
        <v>459.3</v>
      </c>
      <c r="H661" s="104"/>
      <c r="I661" s="99">
        <f t="shared" si="62"/>
        <v>459.3</v>
      </c>
      <c r="J661" s="104"/>
      <c r="K661" s="96">
        <f t="shared" si="63"/>
        <v>459.3</v>
      </c>
      <c r="L661" s="106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47" customFormat="1" ht="18" customHeight="1">
      <c r="A662" s="136" t="s">
        <v>655</v>
      </c>
      <c r="B662" s="78">
        <v>808</v>
      </c>
      <c r="C662" s="67" t="s">
        <v>109</v>
      </c>
      <c r="D662" s="67" t="s">
        <v>24</v>
      </c>
      <c r="E662" s="67" t="s">
        <v>235</v>
      </c>
      <c r="F662" s="67"/>
      <c r="G662" s="96">
        <f>SUM(G663)</f>
        <v>39805.9</v>
      </c>
      <c r="H662" s="99">
        <f>SUM(H663)</f>
        <v>110</v>
      </c>
      <c r="I662" s="99">
        <f t="shared" si="62"/>
        <v>39915.9</v>
      </c>
      <c r="J662" s="99">
        <f>SUM(J663)</f>
        <v>3190.2000000000003</v>
      </c>
      <c r="K662" s="96">
        <f t="shared" si="63"/>
        <v>43106.1</v>
      </c>
      <c r="L662" s="106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48" customFormat="1" ht="18.75" customHeight="1">
      <c r="A663" s="124" t="s">
        <v>229</v>
      </c>
      <c r="B663" s="78">
        <v>808</v>
      </c>
      <c r="C663" s="67" t="s">
        <v>109</v>
      </c>
      <c r="D663" s="67" t="s">
        <v>24</v>
      </c>
      <c r="E663" s="67" t="s">
        <v>235</v>
      </c>
      <c r="F663" s="67" t="s">
        <v>660</v>
      </c>
      <c r="G663" s="96">
        <v>39805.9</v>
      </c>
      <c r="H663" s="104">
        <v>110</v>
      </c>
      <c r="I663" s="99">
        <f t="shared" si="62"/>
        <v>39915.9</v>
      </c>
      <c r="J663" s="104">
        <f>2348.8+841.4</f>
        <v>3190.2000000000003</v>
      </c>
      <c r="K663" s="96">
        <f t="shared" si="63"/>
        <v>43106.1</v>
      </c>
      <c r="L663" s="106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34.5" customHeight="1">
      <c r="A664" s="124" t="s">
        <v>105</v>
      </c>
      <c r="B664" s="78">
        <v>808</v>
      </c>
      <c r="C664" s="67" t="s">
        <v>109</v>
      </c>
      <c r="D664" s="67" t="s">
        <v>24</v>
      </c>
      <c r="E664" s="67" t="s">
        <v>246</v>
      </c>
      <c r="F664" s="67"/>
      <c r="G664" s="96">
        <f>SUM(G665,G667)</f>
        <v>41137.600000000006</v>
      </c>
      <c r="H664" s="99">
        <f>SUM(H665,H667)</f>
        <v>8.2</v>
      </c>
      <c r="I664" s="99">
        <f t="shared" si="62"/>
        <v>41145.8</v>
      </c>
      <c r="J664" s="99">
        <f>SUM(J665,J667)</f>
        <v>8334.499999999998</v>
      </c>
      <c r="K664" s="96">
        <f t="shared" si="63"/>
        <v>49480.3</v>
      </c>
      <c r="L664" s="106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20.25" customHeight="1">
      <c r="A665" s="136" t="s">
        <v>593</v>
      </c>
      <c r="B665" s="78">
        <v>808</v>
      </c>
      <c r="C665" s="67" t="s">
        <v>109</v>
      </c>
      <c r="D665" s="67" t="s">
        <v>24</v>
      </c>
      <c r="E665" s="67" t="s">
        <v>617</v>
      </c>
      <c r="F665" s="67"/>
      <c r="G665" s="96">
        <f>SUM(G666)</f>
        <v>335.8</v>
      </c>
      <c r="H665" s="99">
        <f>SUM(H666)</f>
        <v>0</v>
      </c>
      <c r="I665" s="99">
        <f t="shared" si="62"/>
        <v>335.8</v>
      </c>
      <c r="J665" s="99">
        <f>SUM(J666)</f>
        <v>0</v>
      </c>
      <c r="K665" s="96">
        <f t="shared" si="63"/>
        <v>335.8</v>
      </c>
      <c r="L665" s="106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8.75" customHeight="1">
      <c r="A666" s="124" t="s">
        <v>63</v>
      </c>
      <c r="B666" s="78">
        <v>808</v>
      </c>
      <c r="C666" s="67" t="s">
        <v>109</v>
      </c>
      <c r="D666" s="67" t="s">
        <v>24</v>
      </c>
      <c r="E666" s="67" t="s">
        <v>617</v>
      </c>
      <c r="F666" s="67" t="s">
        <v>660</v>
      </c>
      <c r="G666" s="96">
        <v>335.8</v>
      </c>
      <c r="H666" s="104"/>
      <c r="I666" s="99">
        <f t="shared" si="62"/>
        <v>335.8</v>
      </c>
      <c r="J666" s="104"/>
      <c r="K666" s="96">
        <f t="shared" si="63"/>
        <v>335.8</v>
      </c>
      <c r="L666" s="106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8.75" customHeight="1">
      <c r="A667" s="136" t="s">
        <v>480</v>
      </c>
      <c r="B667" s="78">
        <v>808</v>
      </c>
      <c r="C667" s="67" t="s">
        <v>109</v>
      </c>
      <c r="D667" s="67" t="s">
        <v>24</v>
      </c>
      <c r="E667" s="67" t="s">
        <v>247</v>
      </c>
      <c r="F667" s="67"/>
      <c r="G667" s="96">
        <f>SUM(G668)</f>
        <v>40801.8</v>
      </c>
      <c r="H667" s="99">
        <f>SUM(H668)</f>
        <v>8.2</v>
      </c>
      <c r="I667" s="99">
        <f t="shared" si="62"/>
        <v>40810</v>
      </c>
      <c r="J667" s="99">
        <f>SUM(J668)</f>
        <v>8334.499999999998</v>
      </c>
      <c r="K667" s="96">
        <f t="shared" si="63"/>
        <v>49144.5</v>
      </c>
      <c r="L667" s="106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8.75" customHeight="1">
      <c r="A668" s="124" t="s">
        <v>63</v>
      </c>
      <c r="B668" s="78">
        <v>808</v>
      </c>
      <c r="C668" s="67" t="s">
        <v>109</v>
      </c>
      <c r="D668" s="67" t="s">
        <v>24</v>
      </c>
      <c r="E668" s="67" t="s">
        <v>247</v>
      </c>
      <c r="F668" s="67" t="s">
        <v>660</v>
      </c>
      <c r="G668" s="96">
        <v>40801.8</v>
      </c>
      <c r="H668" s="104">
        <v>8.2</v>
      </c>
      <c r="I668" s="99">
        <f t="shared" si="62"/>
        <v>40810</v>
      </c>
      <c r="J668" s="104">
        <f>2969.2+5328.9+36.4</f>
        <v>8334.499999999998</v>
      </c>
      <c r="K668" s="96">
        <f t="shared" si="63"/>
        <v>49144.5</v>
      </c>
      <c r="L668" s="106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30.75" customHeight="1" hidden="1">
      <c r="A669" s="151" t="s">
        <v>667</v>
      </c>
      <c r="B669" s="78">
        <v>808</v>
      </c>
      <c r="C669" s="67" t="s">
        <v>109</v>
      </c>
      <c r="D669" s="67" t="s">
        <v>24</v>
      </c>
      <c r="E669" s="67" t="s">
        <v>247</v>
      </c>
      <c r="F669" s="84" t="s">
        <v>666</v>
      </c>
      <c r="G669" s="96"/>
      <c r="H669" s="104"/>
      <c r="I669" s="99">
        <f t="shared" si="62"/>
        <v>0</v>
      </c>
      <c r="J669" s="104"/>
      <c r="K669" s="96">
        <f t="shared" si="63"/>
        <v>0</v>
      </c>
      <c r="L669" s="106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8.75" customHeight="1" hidden="1">
      <c r="A670" s="152" t="s">
        <v>671</v>
      </c>
      <c r="B670" s="78">
        <v>808</v>
      </c>
      <c r="C670" s="67" t="s">
        <v>109</v>
      </c>
      <c r="D670" s="67" t="s">
        <v>24</v>
      </c>
      <c r="E670" s="67" t="s">
        <v>247</v>
      </c>
      <c r="F670" s="67" t="s">
        <v>672</v>
      </c>
      <c r="G670" s="96"/>
      <c r="H670" s="104"/>
      <c r="I670" s="99">
        <f t="shared" si="62"/>
        <v>0</v>
      </c>
      <c r="J670" s="104"/>
      <c r="K670" s="96">
        <f t="shared" si="63"/>
        <v>0</v>
      </c>
      <c r="L670" s="106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36.75" customHeight="1" hidden="1">
      <c r="A671" s="124" t="s">
        <v>808</v>
      </c>
      <c r="B671" s="78">
        <v>808</v>
      </c>
      <c r="C671" s="67" t="s">
        <v>109</v>
      </c>
      <c r="D671" s="67" t="s">
        <v>24</v>
      </c>
      <c r="E671" s="67" t="s">
        <v>248</v>
      </c>
      <c r="F671" s="67"/>
      <c r="G671" s="96">
        <f>SUM(G672)</f>
        <v>0</v>
      </c>
      <c r="H671" s="104"/>
      <c r="I671" s="99">
        <f t="shared" si="62"/>
        <v>0</v>
      </c>
      <c r="J671" s="104"/>
      <c r="K671" s="96">
        <f t="shared" si="63"/>
        <v>0</v>
      </c>
      <c r="L671" s="106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31.5" customHeight="1" hidden="1">
      <c r="A672" s="135" t="s">
        <v>789</v>
      </c>
      <c r="B672" s="78">
        <v>808</v>
      </c>
      <c r="C672" s="67" t="s">
        <v>109</v>
      </c>
      <c r="D672" s="67" t="s">
        <v>24</v>
      </c>
      <c r="E672" s="67" t="s">
        <v>250</v>
      </c>
      <c r="F672" s="67"/>
      <c r="G672" s="96">
        <f>G673</f>
        <v>0</v>
      </c>
      <c r="H672" s="104"/>
      <c r="I672" s="99">
        <f t="shared" si="62"/>
        <v>0</v>
      </c>
      <c r="J672" s="104"/>
      <c r="K672" s="96">
        <f t="shared" si="63"/>
        <v>0</v>
      </c>
      <c r="L672" s="106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21" customHeight="1" hidden="1">
      <c r="A673" s="135" t="s">
        <v>790</v>
      </c>
      <c r="B673" s="78">
        <v>808</v>
      </c>
      <c r="C673" s="67" t="s">
        <v>109</v>
      </c>
      <c r="D673" s="67" t="s">
        <v>24</v>
      </c>
      <c r="E673" s="67" t="s">
        <v>250</v>
      </c>
      <c r="F673" s="67" t="s">
        <v>374</v>
      </c>
      <c r="G673" s="96"/>
      <c r="H673" s="104"/>
      <c r="I673" s="99">
        <f t="shared" si="62"/>
        <v>0</v>
      </c>
      <c r="J673" s="104"/>
      <c r="K673" s="96">
        <f t="shared" si="63"/>
        <v>0</v>
      </c>
      <c r="L673" s="106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21" customHeight="1">
      <c r="A674" s="120" t="s">
        <v>470</v>
      </c>
      <c r="B674" s="78">
        <v>808</v>
      </c>
      <c r="C674" s="67" t="s">
        <v>109</v>
      </c>
      <c r="D674" s="67" t="s">
        <v>24</v>
      </c>
      <c r="E674" s="67" t="s">
        <v>471</v>
      </c>
      <c r="F674" s="67"/>
      <c r="G674" s="96">
        <f>SUM(G675,G677,G679,G681)</f>
        <v>3594.2</v>
      </c>
      <c r="H674" s="99">
        <f>SUM(H675,H677,H679,H681)</f>
        <v>0</v>
      </c>
      <c r="I674" s="99">
        <f t="shared" si="62"/>
        <v>3594.2</v>
      </c>
      <c r="J674" s="99">
        <f>SUM(J675,J677,J679,J681)</f>
        <v>65</v>
      </c>
      <c r="K674" s="96">
        <f t="shared" si="63"/>
        <v>3659.2</v>
      </c>
      <c r="L674" s="106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36" customHeight="1">
      <c r="A675" s="124" t="s">
        <v>516</v>
      </c>
      <c r="B675" s="78">
        <v>808</v>
      </c>
      <c r="C675" s="67" t="s">
        <v>109</v>
      </c>
      <c r="D675" s="67" t="s">
        <v>24</v>
      </c>
      <c r="E675" s="67" t="s">
        <v>391</v>
      </c>
      <c r="F675" s="67"/>
      <c r="G675" s="96">
        <f>SUM(G676)</f>
        <v>350</v>
      </c>
      <c r="H675" s="99">
        <f>SUM(H676)</f>
        <v>0</v>
      </c>
      <c r="I675" s="99">
        <f t="shared" si="62"/>
        <v>350</v>
      </c>
      <c r="J675" s="99">
        <f>SUM(J676)</f>
        <v>0</v>
      </c>
      <c r="K675" s="96">
        <f t="shared" si="63"/>
        <v>350</v>
      </c>
      <c r="L675" s="106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36" customHeight="1">
      <c r="A676" s="135" t="s">
        <v>18</v>
      </c>
      <c r="B676" s="78">
        <v>808</v>
      </c>
      <c r="C676" s="67" t="s">
        <v>109</v>
      </c>
      <c r="D676" s="67" t="s">
        <v>24</v>
      </c>
      <c r="E676" s="67" t="s">
        <v>391</v>
      </c>
      <c r="F676" s="67" t="s">
        <v>375</v>
      </c>
      <c r="G676" s="96">
        <v>350</v>
      </c>
      <c r="H676" s="104"/>
      <c r="I676" s="99">
        <f t="shared" si="62"/>
        <v>350</v>
      </c>
      <c r="J676" s="104"/>
      <c r="K676" s="96">
        <f t="shared" si="63"/>
        <v>350</v>
      </c>
      <c r="L676" s="106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36" customHeight="1">
      <c r="A677" s="127" t="s">
        <v>755</v>
      </c>
      <c r="B677" s="78">
        <v>808</v>
      </c>
      <c r="C677" s="67" t="s">
        <v>109</v>
      </c>
      <c r="D677" s="67" t="s">
        <v>24</v>
      </c>
      <c r="E677" s="67" t="s">
        <v>371</v>
      </c>
      <c r="F677" s="67"/>
      <c r="G677" s="96">
        <f>SUM(G678)</f>
        <v>2774</v>
      </c>
      <c r="H677" s="99">
        <f>SUM(H678)</f>
        <v>0</v>
      </c>
      <c r="I677" s="99">
        <f t="shared" si="62"/>
        <v>2774</v>
      </c>
      <c r="J677" s="99">
        <f>SUM(J678)</f>
        <v>65</v>
      </c>
      <c r="K677" s="96">
        <f t="shared" si="63"/>
        <v>2839</v>
      </c>
      <c r="L677" s="106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36" customHeight="1">
      <c r="A678" s="135" t="s">
        <v>251</v>
      </c>
      <c r="B678" s="78">
        <v>808</v>
      </c>
      <c r="C678" s="67" t="s">
        <v>109</v>
      </c>
      <c r="D678" s="67" t="s">
        <v>24</v>
      </c>
      <c r="E678" s="67" t="s">
        <v>371</v>
      </c>
      <c r="F678" s="67" t="s">
        <v>375</v>
      </c>
      <c r="G678" s="96">
        <v>2774</v>
      </c>
      <c r="H678" s="104"/>
      <c r="I678" s="99">
        <f t="shared" si="62"/>
        <v>2774</v>
      </c>
      <c r="J678" s="104">
        <v>65</v>
      </c>
      <c r="K678" s="96">
        <f t="shared" si="63"/>
        <v>2839</v>
      </c>
      <c r="L678" s="106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52.5" customHeight="1">
      <c r="A679" s="135" t="s">
        <v>517</v>
      </c>
      <c r="B679" s="78">
        <v>808</v>
      </c>
      <c r="C679" s="67" t="s">
        <v>109</v>
      </c>
      <c r="D679" s="67" t="s">
        <v>24</v>
      </c>
      <c r="E679" s="67" t="s">
        <v>547</v>
      </c>
      <c r="F679" s="67"/>
      <c r="G679" s="96">
        <f>G680</f>
        <v>100</v>
      </c>
      <c r="H679" s="99">
        <f>H680</f>
        <v>0</v>
      </c>
      <c r="I679" s="99">
        <f t="shared" si="62"/>
        <v>100</v>
      </c>
      <c r="J679" s="99">
        <f>J680</f>
        <v>0</v>
      </c>
      <c r="K679" s="96">
        <f t="shared" si="63"/>
        <v>100</v>
      </c>
      <c r="L679" s="106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36.75" customHeight="1">
      <c r="A680" s="135" t="s">
        <v>251</v>
      </c>
      <c r="B680" s="78">
        <v>808</v>
      </c>
      <c r="C680" s="67" t="s">
        <v>109</v>
      </c>
      <c r="D680" s="67" t="s">
        <v>24</v>
      </c>
      <c r="E680" s="67" t="s">
        <v>547</v>
      </c>
      <c r="F680" s="67" t="s">
        <v>375</v>
      </c>
      <c r="G680" s="96">
        <v>100</v>
      </c>
      <c r="H680" s="104"/>
      <c r="I680" s="99">
        <f t="shared" si="62"/>
        <v>100</v>
      </c>
      <c r="J680" s="104"/>
      <c r="K680" s="96">
        <f t="shared" si="63"/>
        <v>100</v>
      </c>
      <c r="L680" s="106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33.75" customHeight="1">
      <c r="A681" s="120" t="s">
        <v>518</v>
      </c>
      <c r="B681" s="78">
        <v>808</v>
      </c>
      <c r="C681" s="67" t="s">
        <v>109</v>
      </c>
      <c r="D681" s="67" t="s">
        <v>24</v>
      </c>
      <c r="E681" s="67" t="s">
        <v>553</v>
      </c>
      <c r="F681" s="67"/>
      <c r="G681" s="96">
        <f>G682</f>
        <v>370.2</v>
      </c>
      <c r="H681" s="99">
        <f>H682</f>
        <v>0</v>
      </c>
      <c r="I681" s="99">
        <f t="shared" si="62"/>
        <v>370.2</v>
      </c>
      <c r="J681" s="99">
        <f>J682</f>
        <v>0</v>
      </c>
      <c r="K681" s="96">
        <f t="shared" si="63"/>
        <v>370.2</v>
      </c>
      <c r="L681" s="106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36.75" customHeight="1">
      <c r="A682" s="135" t="s">
        <v>251</v>
      </c>
      <c r="B682" s="78">
        <v>808</v>
      </c>
      <c r="C682" s="67" t="s">
        <v>109</v>
      </c>
      <c r="D682" s="67" t="s">
        <v>24</v>
      </c>
      <c r="E682" s="67" t="s">
        <v>553</v>
      </c>
      <c r="F682" s="67" t="s">
        <v>375</v>
      </c>
      <c r="G682" s="96">
        <v>370.2</v>
      </c>
      <c r="H682" s="104"/>
      <c r="I682" s="99">
        <f t="shared" si="62"/>
        <v>370.2</v>
      </c>
      <c r="J682" s="104"/>
      <c r="K682" s="96">
        <f t="shared" si="63"/>
        <v>370.2</v>
      </c>
      <c r="L682" s="106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21" customHeight="1">
      <c r="A683" s="124" t="s">
        <v>296</v>
      </c>
      <c r="B683" s="78">
        <v>808</v>
      </c>
      <c r="C683" s="67" t="s">
        <v>109</v>
      </c>
      <c r="D683" s="67" t="s">
        <v>27</v>
      </c>
      <c r="E683" s="67"/>
      <c r="F683" s="67"/>
      <c r="G683" s="96">
        <f>G684+G687+G692</f>
        <v>13297.9</v>
      </c>
      <c r="H683" s="99">
        <f>H684+H687+H692</f>
        <v>8.9</v>
      </c>
      <c r="I683" s="99">
        <f t="shared" si="62"/>
        <v>13306.8</v>
      </c>
      <c r="J683" s="99">
        <f>J684+J687+J692</f>
        <v>947.5</v>
      </c>
      <c r="K683" s="96">
        <f t="shared" si="63"/>
        <v>14254.3</v>
      </c>
      <c r="L683" s="106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51" customHeight="1">
      <c r="A684" s="124" t="s">
        <v>93</v>
      </c>
      <c r="B684" s="78">
        <v>808</v>
      </c>
      <c r="C684" s="67" t="s">
        <v>109</v>
      </c>
      <c r="D684" s="67" t="s">
        <v>27</v>
      </c>
      <c r="E684" s="67" t="s">
        <v>94</v>
      </c>
      <c r="F684" s="67"/>
      <c r="G684" s="96">
        <f aca="true" t="shared" si="64" ref="G684:J685">SUM(G685)</f>
        <v>4333</v>
      </c>
      <c r="H684" s="99">
        <f t="shared" si="64"/>
        <v>4.9</v>
      </c>
      <c r="I684" s="99">
        <f t="shared" si="62"/>
        <v>4337.9</v>
      </c>
      <c r="J684" s="99">
        <f t="shared" si="64"/>
        <v>508.29999999999995</v>
      </c>
      <c r="K684" s="96">
        <f t="shared" si="63"/>
        <v>4846.2</v>
      </c>
      <c r="L684" s="106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8" customHeight="1">
      <c r="A685" s="124" t="s">
        <v>98</v>
      </c>
      <c r="B685" s="78">
        <v>808</v>
      </c>
      <c r="C685" s="67" t="s">
        <v>109</v>
      </c>
      <c r="D685" s="67" t="s">
        <v>27</v>
      </c>
      <c r="E685" s="67" t="s">
        <v>96</v>
      </c>
      <c r="F685" s="67"/>
      <c r="G685" s="96">
        <f t="shared" si="64"/>
        <v>4333</v>
      </c>
      <c r="H685" s="99">
        <f t="shared" si="64"/>
        <v>4.9</v>
      </c>
      <c r="I685" s="99">
        <f t="shared" si="62"/>
        <v>4337.9</v>
      </c>
      <c r="J685" s="99">
        <f t="shared" si="64"/>
        <v>508.29999999999995</v>
      </c>
      <c r="K685" s="96">
        <f t="shared" si="63"/>
        <v>4846.2</v>
      </c>
      <c r="L685" s="106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20.25" customHeight="1">
      <c r="A686" s="120" t="s">
        <v>438</v>
      </c>
      <c r="B686" s="78">
        <v>808</v>
      </c>
      <c r="C686" s="67" t="s">
        <v>109</v>
      </c>
      <c r="D686" s="67" t="s">
        <v>27</v>
      </c>
      <c r="E686" s="67" t="s">
        <v>96</v>
      </c>
      <c r="F686" s="67" t="s">
        <v>277</v>
      </c>
      <c r="G686" s="96">
        <f>4265.9+67.1</f>
        <v>4333</v>
      </c>
      <c r="H686" s="104">
        <v>4.9</v>
      </c>
      <c r="I686" s="99">
        <f t="shared" si="62"/>
        <v>4337.9</v>
      </c>
      <c r="J686" s="104">
        <f>355-230.3+89.7+293.9</f>
        <v>508.29999999999995</v>
      </c>
      <c r="K686" s="96">
        <f t="shared" si="63"/>
        <v>4846.2</v>
      </c>
      <c r="L686" s="106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52.5" customHeight="1">
      <c r="A687" s="124" t="s">
        <v>45</v>
      </c>
      <c r="B687" s="78">
        <v>808</v>
      </c>
      <c r="C687" s="67" t="s">
        <v>109</v>
      </c>
      <c r="D687" s="67" t="s">
        <v>27</v>
      </c>
      <c r="E687" s="67" t="s">
        <v>648</v>
      </c>
      <c r="F687" s="67"/>
      <c r="G687" s="96">
        <f>SUM(G688,G690)</f>
        <v>8217.1</v>
      </c>
      <c r="H687" s="99">
        <f>SUM(H688,H690)</f>
        <v>4</v>
      </c>
      <c r="I687" s="99">
        <f t="shared" si="62"/>
        <v>8221.1</v>
      </c>
      <c r="J687" s="99">
        <f>SUM(J688,J690)</f>
        <v>390.2000000000001</v>
      </c>
      <c r="K687" s="96">
        <f t="shared" si="63"/>
        <v>8611.300000000001</v>
      </c>
      <c r="L687" s="106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21" customHeight="1">
      <c r="A688" s="136" t="s">
        <v>593</v>
      </c>
      <c r="B688" s="78">
        <v>808</v>
      </c>
      <c r="C688" s="67" t="s">
        <v>109</v>
      </c>
      <c r="D688" s="67" t="s">
        <v>27</v>
      </c>
      <c r="E688" s="67" t="s">
        <v>597</v>
      </c>
      <c r="F688" s="67"/>
      <c r="G688" s="96">
        <f>SUM(G689)</f>
        <v>60.2</v>
      </c>
      <c r="H688" s="99">
        <f>SUM(H689)</f>
        <v>0</v>
      </c>
      <c r="I688" s="99">
        <f t="shared" si="62"/>
        <v>60.2</v>
      </c>
      <c r="J688" s="99">
        <f>SUM(J689)</f>
        <v>0</v>
      </c>
      <c r="K688" s="96">
        <f t="shared" si="63"/>
        <v>60.2</v>
      </c>
      <c r="L688" s="106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21.75" customHeight="1">
      <c r="A689" s="124" t="s">
        <v>63</v>
      </c>
      <c r="B689" s="78">
        <v>808</v>
      </c>
      <c r="C689" s="67" t="s">
        <v>109</v>
      </c>
      <c r="D689" s="67" t="s">
        <v>27</v>
      </c>
      <c r="E689" s="67" t="s">
        <v>597</v>
      </c>
      <c r="F689" s="67" t="s">
        <v>660</v>
      </c>
      <c r="G689" s="96">
        <v>60.2</v>
      </c>
      <c r="H689" s="104"/>
      <c r="I689" s="99">
        <f t="shared" si="62"/>
        <v>60.2</v>
      </c>
      <c r="J689" s="104"/>
      <c r="K689" s="96">
        <f t="shared" si="63"/>
        <v>60.2</v>
      </c>
      <c r="L689" s="106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9.5" customHeight="1">
      <c r="A690" s="136" t="s">
        <v>480</v>
      </c>
      <c r="B690" s="78">
        <v>808</v>
      </c>
      <c r="C690" s="67" t="s">
        <v>109</v>
      </c>
      <c r="D690" s="67" t="s">
        <v>27</v>
      </c>
      <c r="E690" s="67" t="s">
        <v>649</v>
      </c>
      <c r="F690" s="67"/>
      <c r="G690" s="96">
        <f>SUM(G691)</f>
        <v>8156.9</v>
      </c>
      <c r="H690" s="99">
        <f>SUM(H691)</f>
        <v>4</v>
      </c>
      <c r="I690" s="99">
        <f t="shared" si="62"/>
        <v>8160.9</v>
      </c>
      <c r="J690" s="99">
        <f>SUM(J691)</f>
        <v>390.2000000000001</v>
      </c>
      <c r="K690" s="96">
        <f t="shared" si="63"/>
        <v>8551.1</v>
      </c>
      <c r="L690" s="106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9.5" customHeight="1">
      <c r="A691" s="124" t="s">
        <v>63</v>
      </c>
      <c r="B691" s="78">
        <v>808</v>
      </c>
      <c r="C691" s="67" t="s">
        <v>109</v>
      </c>
      <c r="D691" s="67" t="s">
        <v>27</v>
      </c>
      <c r="E691" s="67" t="s">
        <v>649</v>
      </c>
      <c r="F691" s="67" t="s">
        <v>660</v>
      </c>
      <c r="G691" s="96">
        <v>8156.9</v>
      </c>
      <c r="H691" s="104">
        <v>4</v>
      </c>
      <c r="I691" s="99">
        <f t="shared" si="62"/>
        <v>8160.9</v>
      </c>
      <c r="J691" s="104">
        <f>594.2+38.2-242.2</f>
        <v>390.2000000000001</v>
      </c>
      <c r="K691" s="96">
        <f t="shared" si="63"/>
        <v>8551.1</v>
      </c>
      <c r="L691" s="106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9.5" customHeight="1">
      <c r="A692" s="146" t="s">
        <v>443</v>
      </c>
      <c r="B692" s="78">
        <v>808</v>
      </c>
      <c r="C692" s="67" t="s">
        <v>109</v>
      </c>
      <c r="D692" s="67" t="s">
        <v>27</v>
      </c>
      <c r="E692" s="67" t="s">
        <v>433</v>
      </c>
      <c r="F692" s="67"/>
      <c r="G692" s="96">
        <f>G693</f>
        <v>747.8</v>
      </c>
      <c r="H692" s="99">
        <f>H693</f>
        <v>0</v>
      </c>
      <c r="I692" s="99">
        <f t="shared" si="62"/>
        <v>747.8</v>
      </c>
      <c r="J692" s="99">
        <f>J693</f>
        <v>49</v>
      </c>
      <c r="K692" s="96">
        <f t="shared" si="63"/>
        <v>796.8</v>
      </c>
      <c r="L692" s="106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9.5" customHeight="1">
      <c r="A693" s="146" t="s">
        <v>439</v>
      </c>
      <c r="B693" s="78">
        <v>808</v>
      </c>
      <c r="C693" s="67" t="s">
        <v>109</v>
      </c>
      <c r="D693" s="67" t="s">
        <v>27</v>
      </c>
      <c r="E693" s="67" t="s">
        <v>434</v>
      </c>
      <c r="F693" s="67"/>
      <c r="G693" s="96">
        <f>G694+G696</f>
        <v>747.8</v>
      </c>
      <c r="H693" s="99">
        <f>H694+H696</f>
        <v>0</v>
      </c>
      <c r="I693" s="99">
        <f t="shared" si="62"/>
        <v>747.8</v>
      </c>
      <c r="J693" s="99">
        <f>J694+J696</f>
        <v>49</v>
      </c>
      <c r="K693" s="96">
        <f t="shared" si="63"/>
        <v>796.8</v>
      </c>
      <c r="L693" s="106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9.5" customHeight="1">
      <c r="A694" s="136" t="s">
        <v>279</v>
      </c>
      <c r="B694" s="78">
        <v>808</v>
      </c>
      <c r="C694" s="67" t="s">
        <v>109</v>
      </c>
      <c r="D694" s="67" t="s">
        <v>27</v>
      </c>
      <c r="E694" s="67" t="s">
        <v>446</v>
      </c>
      <c r="F694" s="67"/>
      <c r="G694" s="96">
        <f>G695</f>
        <v>662.8</v>
      </c>
      <c r="H694" s="99">
        <f>H695</f>
        <v>0</v>
      </c>
      <c r="I694" s="99">
        <f t="shared" si="62"/>
        <v>662.8</v>
      </c>
      <c r="J694" s="99">
        <f>J695</f>
        <v>49</v>
      </c>
      <c r="K694" s="96">
        <f t="shared" si="63"/>
        <v>711.8</v>
      </c>
      <c r="L694" s="106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36.75" customHeight="1">
      <c r="A695" s="135" t="s">
        <v>251</v>
      </c>
      <c r="B695" s="78">
        <v>808</v>
      </c>
      <c r="C695" s="67" t="s">
        <v>109</v>
      </c>
      <c r="D695" s="67" t="s">
        <v>27</v>
      </c>
      <c r="E695" s="67" t="s">
        <v>446</v>
      </c>
      <c r="F695" s="67" t="s">
        <v>375</v>
      </c>
      <c r="G695" s="96">
        <v>662.8</v>
      </c>
      <c r="H695" s="104"/>
      <c r="I695" s="99">
        <f t="shared" si="62"/>
        <v>662.8</v>
      </c>
      <c r="J695" s="104">
        <v>49</v>
      </c>
      <c r="K695" s="96">
        <f t="shared" si="63"/>
        <v>711.8</v>
      </c>
      <c r="L695" s="106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8.75" customHeight="1">
      <c r="A696" s="136" t="s">
        <v>863</v>
      </c>
      <c r="B696" s="78">
        <v>808</v>
      </c>
      <c r="C696" s="67" t="s">
        <v>109</v>
      </c>
      <c r="D696" s="67" t="s">
        <v>27</v>
      </c>
      <c r="E696" s="67" t="s">
        <v>442</v>
      </c>
      <c r="F696" s="67"/>
      <c r="G696" s="96">
        <f>SUM(G697)</f>
        <v>85</v>
      </c>
      <c r="H696" s="99">
        <f>SUM(H697)</f>
        <v>0</v>
      </c>
      <c r="I696" s="99">
        <f t="shared" si="62"/>
        <v>85</v>
      </c>
      <c r="J696" s="99">
        <f>SUM(J697)</f>
        <v>0</v>
      </c>
      <c r="K696" s="96">
        <f t="shared" si="63"/>
        <v>85</v>
      </c>
      <c r="L696" s="106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39" customHeight="1">
      <c r="A697" s="135" t="s">
        <v>316</v>
      </c>
      <c r="B697" s="78">
        <v>808</v>
      </c>
      <c r="C697" s="67" t="s">
        <v>109</v>
      </c>
      <c r="D697" s="67" t="s">
        <v>27</v>
      </c>
      <c r="E697" s="67" t="s">
        <v>442</v>
      </c>
      <c r="F697" s="67" t="s">
        <v>375</v>
      </c>
      <c r="G697" s="96">
        <v>85</v>
      </c>
      <c r="H697" s="104"/>
      <c r="I697" s="99">
        <f t="shared" si="62"/>
        <v>85</v>
      </c>
      <c r="J697" s="104"/>
      <c r="K697" s="96">
        <f t="shared" si="63"/>
        <v>85</v>
      </c>
      <c r="L697" s="106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21" customHeight="1">
      <c r="A698" s="140" t="s">
        <v>848</v>
      </c>
      <c r="B698" s="78">
        <v>808</v>
      </c>
      <c r="C698" s="67" t="s">
        <v>106</v>
      </c>
      <c r="D698" s="67"/>
      <c r="E698" s="67"/>
      <c r="F698" s="67"/>
      <c r="G698" s="96"/>
      <c r="H698" s="104"/>
      <c r="I698" s="99"/>
      <c r="J698" s="104">
        <f>J699</f>
        <v>260.1</v>
      </c>
      <c r="K698" s="96">
        <f t="shared" si="63"/>
        <v>260.1</v>
      </c>
      <c r="L698" s="106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8" customHeight="1">
      <c r="A699" s="140" t="s">
        <v>802</v>
      </c>
      <c r="B699" s="78">
        <v>808</v>
      </c>
      <c r="C699" s="67" t="s">
        <v>106</v>
      </c>
      <c r="D699" s="67" t="s">
        <v>106</v>
      </c>
      <c r="E699" s="67"/>
      <c r="F699" s="67"/>
      <c r="G699" s="96"/>
      <c r="H699" s="104"/>
      <c r="I699" s="99"/>
      <c r="J699" s="104">
        <f>J700</f>
        <v>260.1</v>
      </c>
      <c r="K699" s="96">
        <f t="shared" si="63"/>
        <v>260.1</v>
      </c>
      <c r="L699" s="106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9.5" customHeight="1">
      <c r="A700" s="140" t="s">
        <v>804</v>
      </c>
      <c r="B700" s="78">
        <v>808</v>
      </c>
      <c r="C700" s="67" t="s">
        <v>106</v>
      </c>
      <c r="D700" s="67" t="s">
        <v>106</v>
      </c>
      <c r="E700" s="67" t="s">
        <v>407</v>
      </c>
      <c r="F700" s="67"/>
      <c r="G700" s="96"/>
      <c r="H700" s="104"/>
      <c r="I700" s="99"/>
      <c r="J700" s="104">
        <f>J701</f>
        <v>260.1</v>
      </c>
      <c r="K700" s="96">
        <f t="shared" si="63"/>
        <v>260.1</v>
      </c>
      <c r="L700" s="106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20.25" customHeight="1">
      <c r="A701" s="140" t="s">
        <v>805</v>
      </c>
      <c r="B701" s="78">
        <v>808</v>
      </c>
      <c r="C701" s="67" t="s">
        <v>106</v>
      </c>
      <c r="D701" s="67" t="s">
        <v>106</v>
      </c>
      <c r="E701" s="67" t="s">
        <v>543</v>
      </c>
      <c r="F701" s="67"/>
      <c r="G701" s="96"/>
      <c r="H701" s="104"/>
      <c r="I701" s="99"/>
      <c r="J701" s="104">
        <f>J704+J702</f>
        <v>260.1</v>
      </c>
      <c r="K701" s="96">
        <f t="shared" si="63"/>
        <v>260.1</v>
      </c>
      <c r="L701" s="106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32.25" customHeight="1">
      <c r="A702" s="140" t="s">
        <v>749</v>
      </c>
      <c r="B702" s="78">
        <v>808</v>
      </c>
      <c r="C702" s="67" t="s">
        <v>106</v>
      </c>
      <c r="D702" s="67" t="s">
        <v>106</v>
      </c>
      <c r="E702" s="67" t="s">
        <v>750</v>
      </c>
      <c r="F702" s="67"/>
      <c r="G702" s="96"/>
      <c r="H702" s="104"/>
      <c r="I702" s="99"/>
      <c r="J702" s="104">
        <f>J703</f>
        <v>21.1</v>
      </c>
      <c r="K702" s="96">
        <f t="shared" si="63"/>
        <v>21.1</v>
      </c>
      <c r="L702" s="106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20.25" customHeight="1">
      <c r="A703" s="141" t="s">
        <v>530</v>
      </c>
      <c r="B703" s="78">
        <v>808</v>
      </c>
      <c r="C703" s="67" t="s">
        <v>106</v>
      </c>
      <c r="D703" s="67" t="s">
        <v>106</v>
      </c>
      <c r="E703" s="67" t="s">
        <v>750</v>
      </c>
      <c r="F703" s="67" t="s">
        <v>831</v>
      </c>
      <c r="G703" s="96"/>
      <c r="H703" s="104"/>
      <c r="I703" s="99"/>
      <c r="J703" s="104">
        <v>21.1</v>
      </c>
      <c r="K703" s="96">
        <f t="shared" si="63"/>
        <v>21.1</v>
      </c>
      <c r="L703" s="106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36" customHeight="1">
      <c r="A704" s="140" t="s">
        <v>178</v>
      </c>
      <c r="B704" s="78">
        <v>808</v>
      </c>
      <c r="C704" s="67" t="s">
        <v>106</v>
      </c>
      <c r="D704" s="67" t="s">
        <v>106</v>
      </c>
      <c r="E704" s="67" t="s">
        <v>851</v>
      </c>
      <c r="F704" s="67"/>
      <c r="G704" s="96"/>
      <c r="H704" s="104"/>
      <c r="I704" s="99"/>
      <c r="J704" s="104">
        <f>J705</f>
        <v>239</v>
      </c>
      <c r="K704" s="96">
        <f t="shared" si="63"/>
        <v>239</v>
      </c>
      <c r="L704" s="106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21" customHeight="1">
      <c r="A705" s="141" t="s">
        <v>530</v>
      </c>
      <c r="B705" s="78">
        <v>808</v>
      </c>
      <c r="C705" s="67" t="s">
        <v>106</v>
      </c>
      <c r="D705" s="67" t="s">
        <v>106</v>
      </c>
      <c r="E705" s="67" t="s">
        <v>851</v>
      </c>
      <c r="F705" s="67" t="s">
        <v>831</v>
      </c>
      <c r="G705" s="96"/>
      <c r="H705" s="104"/>
      <c r="I705" s="99"/>
      <c r="J705" s="104">
        <v>239</v>
      </c>
      <c r="K705" s="96">
        <f t="shared" si="63"/>
        <v>239</v>
      </c>
      <c r="L705" s="106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6.5" customHeight="1">
      <c r="A706" s="146" t="s">
        <v>510</v>
      </c>
      <c r="B706" s="78">
        <v>808</v>
      </c>
      <c r="C706" s="67" t="s">
        <v>589</v>
      </c>
      <c r="D706" s="67"/>
      <c r="E706" s="67"/>
      <c r="F706" s="67"/>
      <c r="G706" s="96">
        <f>G707</f>
        <v>613.2</v>
      </c>
      <c r="H706" s="99">
        <f>H707</f>
        <v>0</v>
      </c>
      <c r="I706" s="99">
        <f t="shared" si="62"/>
        <v>613.2</v>
      </c>
      <c r="J706" s="99">
        <f>J707</f>
        <v>0</v>
      </c>
      <c r="K706" s="96">
        <f t="shared" si="63"/>
        <v>613.2</v>
      </c>
      <c r="L706" s="106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7.25" customHeight="1">
      <c r="A707" s="136" t="s">
        <v>590</v>
      </c>
      <c r="B707" s="78">
        <v>808</v>
      </c>
      <c r="C707" s="67" t="s">
        <v>589</v>
      </c>
      <c r="D707" s="67" t="s">
        <v>28</v>
      </c>
      <c r="E707" s="67"/>
      <c r="F707" s="67"/>
      <c r="G707" s="96">
        <f>G708</f>
        <v>613.2</v>
      </c>
      <c r="H707" s="99">
        <f>H708</f>
        <v>0</v>
      </c>
      <c r="I707" s="99">
        <f t="shared" si="62"/>
        <v>613.2</v>
      </c>
      <c r="J707" s="99">
        <f>J708</f>
        <v>0</v>
      </c>
      <c r="K707" s="96">
        <f t="shared" si="63"/>
        <v>613.2</v>
      </c>
      <c r="L707" s="106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9.5" customHeight="1">
      <c r="A708" s="146" t="s">
        <v>443</v>
      </c>
      <c r="B708" s="78">
        <v>808</v>
      </c>
      <c r="C708" s="67" t="s">
        <v>589</v>
      </c>
      <c r="D708" s="67" t="s">
        <v>28</v>
      </c>
      <c r="E708" s="67" t="s">
        <v>433</v>
      </c>
      <c r="F708" s="67"/>
      <c r="G708" s="96">
        <f>G710</f>
        <v>613.2</v>
      </c>
      <c r="H708" s="99">
        <f>H710</f>
        <v>0</v>
      </c>
      <c r="I708" s="99">
        <f t="shared" si="62"/>
        <v>613.2</v>
      </c>
      <c r="J708" s="99">
        <f>J710</f>
        <v>0</v>
      </c>
      <c r="K708" s="96">
        <f t="shared" si="63"/>
        <v>613.2</v>
      </c>
      <c r="L708" s="106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9.5" customHeight="1">
      <c r="A709" s="146" t="s">
        <v>439</v>
      </c>
      <c r="B709" s="78">
        <v>808</v>
      </c>
      <c r="C709" s="67" t="s">
        <v>589</v>
      </c>
      <c r="D709" s="67" t="s">
        <v>28</v>
      </c>
      <c r="E709" s="67" t="s">
        <v>434</v>
      </c>
      <c r="F709" s="67"/>
      <c r="G709" s="96">
        <f>G710</f>
        <v>613.2</v>
      </c>
      <c r="H709" s="99">
        <f>H710</f>
        <v>0</v>
      </c>
      <c r="I709" s="99">
        <f t="shared" si="62"/>
        <v>613.2</v>
      </c>
      <c r="J709" s="99">
        <f>J710</f>
        <v>0</v>
      </c>
      <c r="K709" s="96">
        <f t="shared" si="63"/>
        <v>613.2</v>
      </c>
      <c r="L709" s="106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8" customHeight="1">
      <c r="A710" s="120" t="s">
        <v>444</v>
      </c>
      <c r="B710" s="78">
        <v>808</v>
      </c>
      <c r="C710" s="67" t="s">
        <v>589</v>
      </c>
      <c r="D710" s="67" t="s">
        <v>28</v>
      </c>
      <c r="E710" s="67" t="s">
        <v>445</v>
      </c>
      <c r="F710" s="67"/>
      <c r="G710" s="96">
        <f>G711</f>
        <v>613.2</v>
      </c>
      <c r="H710" s="99">
        <f>H711</f>
        <v>0</v>
      </c>
      <c r="I710" s="99">
        <f t="shared" si="62"/>
        <v>613.2</v>
      </c>
      <c r="J710" s="99">
        <f>J711</f>
        <v>0</v>
      </c>
      <c r="K710" s="96">
        <f t="shared" si="63"/>
        <v>613.2</v>
      </c>
      <c r="L710" s="106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9.5" customHeight="1">
      <c r="A711" s="120" t="s">
        <v>620</v>
      </c>
      <c r="B711" s="78">
        <v>808</v>
      </c>
      <c r="C711" s="67" t="s">
        <v>589</v>
      </c>
      <c r="D711" s="67" t="s">
        <v>28</v>
      </c>
      <c r="E711" s="67" t="s">
        <v>445</v>
      </c>
      <c r="F711" s="67" t="s">
        <v>104</v>
      </c>
      <c r="G711" s="96">
        <v>613.2</v>
      </c>
      <c r="H711" s="104"/>
      <c r="I711" s="99">
        <f t="shared" si="62"/>
        <v>613.2</v>
      </c>
      <c r="J711" s="104"/>
      <c r="K711" s="96">
        <f t="shared" si="63"/>
        <v>613.2</v>
      </c>
      <c r="L711" s="106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6.5" customHeight="1">
      <c r="A712" s="137" t="s">
        <v>162</v>
      </c>
      <c r="B712" s="78">
        <v>809</v>
      </c>
      <c r="C712" s="67"/>
      <c r="D712" s="67"/>
      <c r="E712" s="67"/>
      <c r="F712" s="67"/>
      <c r="G712" s="96">
        <f>SUM(G723,G758,G713,G752)</f>
        <v>390889.4</v>
      </c>
      <c r="H712" s="99">
        <f>SUM(H723,H758,H713,H752)</f>
        <v>1915.1999999999998</v>
      </c>
      <c r="I712" s="99">
        <f t="shared" si="62"/>
        <v>392804.60000000003</v>
      </c>
      <c r="J712" s="99">
        <f>SUM(J723,J758,J713,J752,J744)</f>
        <v>218719.3</v>
      </c>
      <c r="K712" s="96">
        <f t="shared" si="63"/>
        <v>611523.9</v>
      </c>
      <c r="L712" s="106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20.25" customHeight="1" hidden="1">
      <c r="A713" s="137" t="s">
        <v>537</v>
      </c>
      <c r="B713" s="78">
        <v>809</v>
      </c>
      <c r="C713" s="67" t="s">
        <v>27</v>
      </c>
      <c r="D713" s="67"/>
      <c r="E713" s="67"/>
      <c r="F713" s="67"/>
      <c r="G713" s="96">
        <f>G714</f>
        <v>0</v>
      </c>
      <c r="H713" s="99">
        <f>H714</f>
        <v>0</v>
      </c>
      <c r="I713" s="99">
        <f t="shared" si="62"/>
        <v>0</v>
      </c>
      <c r="J713" s="99">
        <f>J714</f>
        <v>0</v>
      </c>
      <c r="K713" s="96">
        <f t="shared" si="63"/>
        <v>0</v>
      </c>
      <c r="L713" s="106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20.25" customHeight="1" hidden="1">
      <c r="A714" s="120" t="s">
        <v>855</v>
      </c>
      <c r="B714" s="78">
        <v>809</v>
      </c>
      <c r="C714" s="67" t="s">
        <v>27</v>
      </c>
      <c r="D714" s="67" t="s">
        <v>24</v>
      </c>
      <c r="E714" s="67"/>
      <c r="F714" s="67"/>
      <c r="G714" s="96">
        <f>G715+G720</f>
        <v>0</v>
      </c>
      <c r="H714" s="99">
        <f>H715+H720</f>
        <v>0</v>
      </c>
      <c r="I714" s="99">
        <f aca="true" t="shared" si="65" ref="I714:I785">H714+G714</f>
        <v>0</v>
      </c>
      <c r="J714" s="99">
        <f>J715+J720</f>
        <v>0</v>
      </c>
      <c r="K714" s="96">
        <f t="shared" si="63"/>
        <v>0</v>
      </c>
      <c r="L714" s="106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20.25" customHeight="1" hidden="1">
      <c r="A715" s="120" t="s">
        <v>857</v>
      </c>
      <c r="B715" s="78">
        <v>809</v>
      </c>
      <c r="C715" s="67" t="s">
        <v>27</v>
      </c>
      <c r="D715" s="67" t="s">
        <v>24</v>
      </c>
      <c r="E715" s="67" t="s">
        <v>856</v>
      </c>
      <c r="F715" s="67"/>
      <c r="G715" s="96">
        <f>G716+G718</f>
        <v>0</v>
      </c>
      <c r="H715" s="99">
        <f>H716+H718</f>
        <v>0</v>
      </c>
      <c r="I715" s="99">
        <f t="shared" si="65"/>
        <v>0</v>
      </c>
      <c r="J715" s="99">
        <f>J716+J718</f>
        <v>0</v>
      </c>
      <c r="K715" s="96">
        <f t="shared" si="63"/>
        <v>0</v>
      </c>
      <c r="L715" s="106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20.25" customHeight="1" hidden="1">
      <c r="A716" s="120" t="s">
        <v>859</v>
      </c>
      <c r="B716" s="78">
        <v>809</v>
      </c>
      <c r="C716" s="67" t="s">
        <v>27</v>
      </c>
      <c r="D716" s="67" t="s">
        <v>24</v>
      </c>
      <c r="E716" s="67" t="s">
        <v>858</v>
      </c>
      <c r="F716" s="67"/>
      <c r="G716" s="96">
        <f>G717</f>
        <v>0</v>
      </c>
      <c r="H716" s="99">
        <f>H717</f>
        <v>0</v>
      </c>
      <c r="I716" s="99">
        <f t="shared" si="65"/>
        <v>0</v>
      </c>
      <c r="J716" s="99">
        <f>J717</f>
        <v>0</v>
      </c>
      <c r="K716" s="96">
        <f t="shared" si="63"/>
        <v>0</v>
      </c>
      <c r="L716" s="106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20.25" customHeight="1" hidden="1">
      <c r="A717" s="124" t="s">
        <v>63</v>
      </c>
      <c r="B717" s="78">
        <v>809</v>
      </c>
      <c r="C717" s="67" t="s">
        <v>27</v>
      </c>
      <c r="D717" s="67" t="s">
        <v>24</v>
      </c>
      <c r="E717" s="67" t="s">
        <v>858</v>
      </c>
      <c r="F717" s="67" t="s">
        <v>660</v>
      </c>
      <c r="G717" s="96"/>
      <c r="H717" s="99"/>
      <c r="I717" s="99">
        <f t="shared" si="65"/>
        <v>0</v>
      </c>
      <c r="J717" s="99"/>
      <c r="K717" s="96">
        <f t="shared" si="63"/>
        <v>0</v>
      </c>
      <c r="L717" s="106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36.75" customHeight="1" hidden="1">
      <c r="A718" s="124" t="s">
        <v>690</v>
      </c>
      <c r="B718" s="78">
        <v>809</v>
      </c>
      <c r="C718" s="67" t="s">
        <v>27</v>
      </c>
      <c r="D718" s="67" t="s">
        <v>24</v>
      </c>
      <c r="E718" s="67" t="s">
        <v>680</v>
      </c>
      <c r="F718" s="67"/>
      <c r="G718" s="96">
        <f>SUM(G719)</f>
        <v>0</v>
      </c>
      <c r="H718" s="99">
        <f>SUM(H719)</f>
        <v>0</v>
      </c>
      <c r="I718" s="99">
        <f t="shared" si="65"/>
        <v>0</v>
      </c>
      <c r="J718" s="99">
        <f>SUM(J719)</f>
        <v>0</v>
      </c>
      <c r="K718" s="96">
        <f t="shared" si="63"/>
        <v>0</v>
      </c>
      <c r="L718" s="106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20.25" customHeight="1" hidden="1">
      <c r="A719" s="124" t="s">
        <v>63</v>
      </c>
      <c r="B719" s="78">
        <v>809</v>
      </c>
      <c r="C719" s="67" t="s">
        <v>27</v>
      </c>
      <c r="D719" s="67" t="s">
        <v>24</v>
      </c>
      <c r="E719" s="67" t="s">
        <v>680</v>
      </c>
      <c r="F719" s="67" t="s">
        <v>660</v>
      </c>
      <c r="G719" s="96"/>
      <c r="H719" s="99"/>
      <c r="I719" s="99">
        <f t="shared" si="65"/>
        <v>0</v>
      </c>
      <c r="J719" s="99"/>
      <c r="K719" s="96">
        <f t="shared" si="63"/>
        <v>0</v>
      </c>
      <c r="L719" s="106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20.25" customHeight="1" hidden="1">
      <c r="A720" s="124" t="s">
        <v>367</v>
      </c>
      <c r="B720" s="78">
        <v>809</v>
      </c>
      <c r="C720" s="67" t="s">
        <v>27</v>
      </c>
      <c r="D720" s="67" t="s">
        <v>24</v>
      </c>
      <c r="E720" s="67" t="s">
        <v>471</v>
      </c>
      <c r="F720" s="67"/>
      <c r="G720" s="96">
        <f aca="true" t="shared" si="66" ref="G720:J721">SUM(G721)</f>
        <v>0</v>
      </c>
      <c r="H720" s="99">
        <f t="shared" si="66"/>
        <v>0</v>
      </c>
      <c r="I720" s="99">
        <f t="shared" si="65"/>
        <v>0</v>
      </c>
      <c r="J720" s="99">
        <f t="shared" si="66"/>
        <v>0</v>
      </c>
      <c r="K720" s="96">
        <f t="shared" si="63"/>
        <v>0</v>
      </c>
      <c r="L720" s="106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36.75" customHeight="1" hidden="1">
      <c r="A721" s="124" t="s">
        <v>695</v>
      </c>
      <c r="B721" s="78">
        <v>809</v>
      </c>
      <c r="C721" s="67" t="s">
        <v>27</v>
      </c>
      <c r="D721" s="67" t="s">
        <v>24</v>
      </c>
      <c r="E721" s="67" t="s">
        <v>702</v>
      </c>
      <c r="F721" s="67"/>
      <c r="G721" s="96">
        <f t="shared" si="66"/>
        <v>0</v>
      </c>
      <c r="H721" s="99">
        <f t="shared" si="66"/>
        <v>0</v>
      </c>
      <c r="I721" s="99">
        <f t="shared" si="65"/>
        <v>0</v>
      </c>
      <c r="J721" s="99">
        <f t="shared" si="66"/>
        <v>0</v>
      </c>
      <c r="K721" s="96">
        <f t="shared" si="63"/>
        <v>0</v>
      </c>
      <c r="L721" s="106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20.25" customHeight="1" hidden="1">
      <c r="A722" s="124" t="s">
        <v>63</v>
      </c>
      <c r="B722" s="78">
        <v>809</v>
      </c>
      <c r="C722" s="67" t="s">
        <v>27</v>
      </c>
      <c r="D722" s="67" t="s">
        <v>24</v>
      </c>
      <c r="E722" s="67" t="s">
        <v>702</v>
      </c>
      <c r="F722" s="67" t="s">
        <v>660</v>
      </c>
      <c r="G722" s="96"/>
      <c r="H722" s="99"/>
      <c r="I722" s="99">
        <f t="shared" si="65"/>
        <v>0</v>
      </c>
      <c r="J722" s="99"/>
      <c r="K722" s="96">
        <f aca="true" t="shared" si="67" ref="K722:K785">I722+J722</f>
        <v>0</v>
      </c>
      <c r="L722" s="106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8" customHeight="1">
      <c r="A723" s="136" t="s">
        <v>507</v>
      </c>
      <c r="B723" s="78">
        <v>809</v>
      </c>
      <c r="C723" s="67" t="s">
        <v>625</v>
      </c>
      <c r="D723" s="67"/>
      <c r="E723" s="67"/>
      <c r="F723" s="67"/>
      <c r="G723" s="96">
        <f>SUM(G724,G739,G732)</f>
        <v>103715.90000000001</v>
      </c>
      <c r="H723" s="99">
        <f>SUM(H724,H739,H732,H736)</f>
        <v>3788.5</v>
      </c>
      <c r="I723" s="99">
        <f t="shared" si="65"/>
        <v>107504.40000000001</v>
      </c>
      <c r="J723" s="99">
        <f>SUM(J724,J739,J732,J736)</f>
        <v>8135.4</v>
      </c>
      <c r="K723" s="96">
        <f t="shared" si="67"/>
        <v>115639.8</v>
      </c>
      <c r="L723" s="106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6.5" customHeight="1">
      <c r="A724" s="136" t="s">
        <v>194</v>
      </c>
      <c r="B724" s="78">
        <v>809</v>
      </c>
      <c r="C724" s="67" t="s">
        <v>625</v>
      </c>
      <c r="D724" s="67" t="s">
        <v>25</v>
      </c>
      <c r="E724" s="67"/>
      <c r="F724" s="67"/>
      <c r="G724" s="96">
        <f>SUM(G725,)</f>
        <v>99370.70000000001</v>
      </c>
      <c r="H724" s="99">
        <f>SUM(H725,)</f>
        <v>1561.7</v>
      </c>
      <c r="I724" s="99">
        <f t="shared" si="65"/>
        <v>100932.40000000001</v>
      </c>
      <c r="J724" s="99">
        <f>SUM(J725,)</f>
        <v>7089</v>
      </c>
      <c r="K724" s="96">
        <f t="shared" si="67"/>
        <v>108021.40000000001</v>
      </c>
      <c r="L724" s="106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33" s="47" customFormat="1" ht="21.75" customHeight="1">
      <c r="A725" s="136" t="s">
        <v>582</v>
      </c>
      <c r="B725" s="78">
        <v>809</v>
      </c>
      <c r="C725" s="67" t="s">
        <v>625</v>
      </c>
      <c r="D725" s="67" t="s">
        <v>25</v>
      </c>
      <c r="E725" s="67" t="s">
        <v>562</v>
      </c>
      <c r="F725" s="67"/>
      <c r="G725" s="96">
        <f>SUM(G726,G728)</f>
        <v>99370.70000000001</v>
      </c>
      <c r="H725" s="99">
        <f>SUM(H726,H728)</f>
        <v>1561.7</v>
      </c>
      <c r="I725" s="99">
        <f t="shared" si="65"/>
        <v>100932.40000000001</v>
      </c>
      <c r="J725" s="99">
        <f>SUM(J726,J728)</f>
        <v>7089</v>
      </c>
      <c r="K725" s="96">
        <f t="shared" si="67"/>
        <v>108021.40000000001</v>
      </c>
      <c r="L725" s="106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</row>
    <row r="726" spans="1:33" s="48" customFormat="1" ht="20.25" customHeight="1">
      <c r="A726" s="136" t="s">
        <v>593</v>
      </c>
      <c r="B726" s="78">
        <v>809</v>
      </c>
      <c r="C726" s="67" t="s">
        <v>625</v>
      </c>
      <c r="D726" s="67" t="s">
        <v>25</v>
      </c>
      <c r="E726" s="67" t="s">
        <v>596</v>
      </c>
      <c r="F726" s="67"/>
      <c r="G726" s="96">
        <f>SUM(G727)</f>
        <v>768.6</v>
      </c>
      <c r="H726" s="99">
        <f>SUM(H727)</f>
        <v>0</v>
      </c>
      <c r="I726" s="99">
        <f t="shared" si="65"/>
        <v>768.6</v>
      </c>
      <c r="J726" s="99">
        <f>SUM(J727)</f>
        <v>0</v>
      </c>
      <c r="K726" s="96">
        <f t="shared" si="67"/>
        <v>768.6</v>
      </c>
      <c r="L726" s="106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</row>
    <row r="727" spans="1:26" ht="18.75" customHeight="1">
      <c r="A727" s="124" t="s">
        <v>63</v>
      </c>
      <c r="B727" s="78">
        <v>809</v>
      </c>
      <c r="C727" s="67" t="s">
        <v>625</v>
      </c>
      <c r="D727" s="67" t="s">
        <v>25</v>
      </c>
      <c r="E727" s="67" t="s">
        <v>596</v>
      </c>
      <c r="F727" s="67" t="s">
        <v>660</v>
      </c>
      <c r="G727" s="96">
        <v>768.6</v>
      </c>
      <c r="H727" s="104"/>
      <c r="I727" s="99">
        <f t="shared" si="65"/>
        <v>768.6</v>
      </c>
      <c r="J727" s="104"/>
      <c r="K727" s="96">
        <f t="shared" si="67"/>
        <v>768.6</v>
      </c>
      <c r="L727" s="106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8" customHeight="1">
      <c r="A728" s="136" t="s">
        <v>480</v>
      </c>
      <c r="B728" s="78">
        <v>809</v>
      </c>
      <c r="C728" s="67" t="s">
        <v>625</v>
      </c>
      <c r="D728" s="67" t="s">
        <v>25</v>
      </c>
      <c r="E728" s="67" t="s">
        <v>563</v>
      </c>
      <c r="F728" s="67"/>
      <c r="G728" s="96">
        <f>G729+G730+G731</f>
        <v>98602.1</v>
      </c>
      <c r="H728" s="99">
        <f>SUM(H729)</f>
        <v>1561.7</v>
      </c>
      <c r="I728" s="99">
        <f t="shared" si="65"/>
        <v>100163.8</v>
      </c>
      <c r="J728" s="99">
        <f>SUM(J729)</f>
        <v>7089</v>
      </c>
      <c r="K728" s="96">
        <f t="shared" si="67"/>
        <v>107252.8</v>
      </c>
      <c r="L728" s="106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20.25" customHeight="1">
      <c r="A729" s="124" t="s">
        <v>229</v>
      </c>
      <c r="B729" s="78">
        <v>809</v>
      </c>
      <c r="C729" s="67" t="s">
        <v>625</v>
      </c>
      <c r="D729" s="67" t="s">
        <v>25</v>
      </c>
      <c r="E729" s="67" t="s">
        <v>563</v>
      </c>
      <c r="F729" s="67" t="s">
        <v>660</v>
      </c>
      <c r="G729" s="96">
        <v>98602.1</v>
      </c>
      <c r="H729" s="104">
        <f>61.7+1500</f>
        <v>1561.7</v>
      </c>
      <c r="I729" s="99">
        <f t="shared" si="65"/>
        <v>100163.8</v>
      </c>
      <c r="J729" s="104">
        <f>6902.1+100+86.9</f>
        <v>7089</v>
      </c>
      <c r="K729" s="96">
        <f t="shared" si="67"/>
        <v>107252.8</v>
      </c>
      <c r="L729" s="106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33.75" customHeight="1" hidden="1">
      <c r="A730" s="151" t="s">
        <v>667</v>
      </c>
      <c r="B730" s="78">
        <v>809</v>
      </c>
      <c r="C730" s="67" t="s">
        <v>625</v>
      </c>
      <c r="D730" s="67" t="s">
        <v>25</v>
      </c>
      <c r="E730" s="67" t="s">
        <v>563</v>
      </c>
      <c r="F730" s="67" t="s">
        <v>666</v>
      </c>
      <c r="G730" s="96"/>
      <c r="H730" s="111" t="s">
        <v>668</v>
      </c>
      <c r="I730" s="99" t="e">
        <f t="shared" si="65"/>
        <v>#VALUE!</v>
      </c>
      <c r="J730" s="111"/>
      <c r="K730" s="96" t="e">
        <f t="shared" si="67"/>
        <v>#VALUE!</v>
      </c>
      <c r="L730" s="106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20.25" customHeight="1" hidden="1">
      <c r="A731" s="152" t="s">
        <v>671</v>
      </c>
      <c r="B731" s="78">
        <v>809</v>
      </c>
      <c r="C731" s="67" t="s">
        <v>625</v>
      </c>
      <c r="D731" s="67" t="s">
        <v>25</v>
      </c>
      <c r="E731" s="67" t="s">
        <v>563</v>
      </c>
      <c r="F731" s="67" t="s">
        <v>672</v>
      </c>
      <c r="G731" s="96"/>
      <c r="H731" s="104"/>
      <c r="I731" s="99">
        <f t="shared" si="65"/>
        <v>0</v>
      </c>
      <c r="J731" s="104"/>
      <c r="K731" s="96">
        <f t="shared" si="67"/>
        <v>0</v>
      </c>
      <c r="L731" s="106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9.5" customHeight="1" hidden="1">
      <c r="A732" s="136" t="s">
        <v>307</v>
      </c>
      <c r="B732" s="78">
        <v>809</v>
      </c>
      <c r="C732" s="67" t="s">
        <v>625</v>
      </c>
      <c r="D732" s="67" t="s">
        <v>625</v>
      </c>
      <c r="E732" s="67"/>
      <c r="F732" s="67"/>
      <c r="G732" s="96">
        <f>G733+G736</f>
        <v>0</v>
      </c>
      <c r="H732" s="104"/>
      <c r="I732" s="99">
        <f t="shared" si="65"/>
        <v>0</v>
      </c>
      <c r="J732" s="104"/>
      <c r="K732" s="96">
        <f t="shared" si="67"/>
        <v>0</v>
      </c>
      <c r="L732" s="106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9.5" customHeight="1" hidden="1">
      <c r="A733" s="124" t="s">
        <v>286</v>
      </c>
      <c r="B733" s="78">
        <v>809</v>
      </c>
      <c r="C733" s="67" t="s">
        <v>625</v>
      </c>
      <c r="D733" s="67" t="s">
        <v>625</v>
      </c>
      <c r="E733" s="67" t="s">
        <v>591</v>
      </c>
      <c r="F733" s="67"/>
      <c r="G733" s="96">
        <f>G734</f>
        <v>0</v>
      </c>
      <c r="H733" s="104"/>
      <c r="I733" s="99">
        <f t="shared" si="65"/>
        <v>0</v>
      </c>
      <c r="J733" s="104"/>
      <c r="K733" s="96">
        <f t="shared" si="67"/>
        <v>0</v>
      </c>
      <c r="L733" s="106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9.5" customHeight="1" hidden="1">
      <c r="A734" s="146" t="s">
        <v>393</v>
      </c>
      <c r="B734" s="78">
        <v>809</v>
      </c>
      <c r="C734" s="67" t="s">
        <v>625</v>
      </c>
      <c r="D734" s="67" t="s">
        <v>625</v>
      </c>
      <c r="E734" s="67" t="s">
        <v>633</v>
      </c>
      <c r="F734" s="67"/>
      <c r="G734" s="96">
        <f>G735</f>
        <v>0</v>
      </c>
      <c r="H734" s="104"/>
      <c r="I734" s="99">
        <f t="shared" si="65"/>
        <v>0</v>
      </c>
      <c r="J734" s="104"/>
      <c r="K734" s="96">
        <f t="shared" si="67"/>
        <v>0</v>
      </c>
      <c r="L734" s="106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9.5" customHeight="1" hidden="1">
      <c r="A735" s="136" t="s">
        <v>653</v>
      </c>
      <c r="B735" s="78">
        <v>809</v>
      </c>
      <c r="C735" s="67" t="s">
        <v>625</v>
      </c>
      <c r="D735" s="67" t="s">
        <v>625</v>
      </c>
      <c r="E735" s="67" t="s">
        <v>633</v>
      </c>
      <c r="F735" s="67" t="s">
        <v>652</v>
      </c>
      <c r="G735" s="96"/>
      <c r="H735" s="104"/>
      <c r="I735" s="99">
        <f t="shared" si="65"/>
        <v>0</v>
      </c>
      <c r="J735" s="104"/>
      <c r="K735" s="96">
        <f t="shared" si="67"/>
        <v>0</v>
      </c>
      <c r="L735" s="106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9.5" customHeight="1">
      <c r="A736" s="136" t="s">
        <v>79</v>
      </c>
      <c r="B736" s="78">
        <v>809</v>
      </c>
      <c r="C736" s="67" t="s">
        <v>625</v>
      </c>
      <c r="D736" s="67" t="s">
        <v>625</v>
      </c>
      <c r="E736" s="67" t="s">
        <v>80</v>
      </c>
      <c r="F736" s="67"/>
      <c r="G736" s="96">
        <f>G737</f>
        <v>0</v>
      </c>
      <c r="H736" s="104">
        <f>H737</f>
        <v>226.8</v>
      </c>
      <c r="I736" s="99">
        <f t="shared" si="65"/>
        <v>226.8</v>
      </c>
      <c r="J736" s="104">
        <f>J737</f>
        <v>0</v>
      </c>
      <c r="K736" s="96">
        <f t="shared" si="67"/>
        <v>226.8</v>
      </c>
      <c r="L736" s="106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17" customHeight="1">
      <c r="A737" s="136" t="s">
        <v>351</v>
      </c>
      <c r="B737" s="78">
        <v>809</v>
      </c>
      <c r="C737" s="67" t="s">
        <v>625</v>
      </c>
      <c r="D737" s="67" t="s">
        <v>625</v>
      </c>
      <c r="E737" s="67" t="s">
        <v>78</v>
      </c>
      <c r="F737" s="67"/>
      <c r="G737" s="96">
        <f>SUM(G738)</f>
        <v>0</v>
      </c>
      <c r="H737" s="104">
        <f>H738</f>
        <v>226.8</v>
      </c>
      <c r="I737" s="99">
        <f t="shared" si="65"/>
        <v>226.8</v>
      </c>
      <c r="J737" s="104">
        <f>J738</f>
        <v>0</v>
      </c>
      <c r="K737" s="96">
        <f t="shared" si="67"/>
        <v>226.8</v>
      </c>
      <c r="L737" s="106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9.5" customHeight="1">
      <c r="A738" s="126" t="s">
        <v>223</v>
      </c>
      <c r="B738" s="78">
        <v>809</v>
      </c>
      <c r="C738" s="67" t="s">
        <v>625</v>
      </c>
      <c r="D738" s="67" t="s">
        <v>625</v>
      </c>
      <c r="E738" s="67" t="s">
        <v>78</v>
      </c>
      <c r="F738" s="67" t="s">
        <v>275</v>
      </c>
      <c r="G738" s="96"/>
      <c r="H738" s="104">
        <v>226.8</v>
      </c>
      <c r="I738" s="99">
        <f t="shared" si="65"/>
        <v>226.8</v>
      </c>
      <c r="J738" s="104"/>
      <c r="K738" s="96">
        <f t="shared" si="67"/>
        <v>226.8</v>
      </c>
      <c r="L738" s="106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9.5" customHeight="1">
      <c r="A739" s="136" t="s">
        <v>195</v>
      </c>
      <c r="B739" s="29">
        <v>809</v>
      </c>
      <c r="C739" s="79" t="s">
        <v>625</v>
      </c>
      <c r="D739" s="79" t="s">
        <v>106</v>
      </c>
      <c r="E739" s="79"/>
      <c r="F739" s="79"/>
      <c r="G739" s="96">
        <f aca="true" t="shared" si="68" ref="G739:J740">SUM(G740)</f>
        <v>4345.2</v>
      </c>
      <c r="H739" s="99">
        <f t="shared" si="68"/>
        <v>2000</v>
      </c>
      <c r="I739" s="99">
        <f t="shared" si="65"/>
        <v>6345.2</v>
      </c>
      <c r="J739" s="99">
        <f t="shared" si="68"/>
        <v>1046.4</v>
      </c>
      <c r="K739" s="96">
        <f t="shared" si="67"/>
        <v>7391.6</v>
      </c>
      <c r="L739" s="106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8.75" customHeight="1">
      <c r="A740" s="146" t="s">
        <v>441</v>
      </c>
      <c r="B740" s="29">
        <v>809</v>
      </c>
      <c r="C740" s="79" t="s">
        <v>625</v>
      </c>
      <c r="D740" s="79" t="s">
        <v>106</v>
      </c>
      <c r="E740" s="67" t="s">
        <v>433</v>
      </c>
      <c r="F740" s="67"/>
      <c r="G740" s="96">
        <f t="shared" si="68"/>
        <v>4345.2</v>
      </c>
      <c r="H740" s="99">
        <f t="shared" si="68"/>
        <v>2000</v>
      </c>
      <c r="I740" s="99">
        <f t="shared" si="65"/>
        <v>6345.2</v>
      </c>
      <c r="J740" s="99">
        <f t="shared" si="68"/>
        <v>1046.4</v>
      </c>
      <c r="K740" s="96">
        <f t="shared" si="67"/>
        <v>7391.6</v>
      </c>
      <c r="L740" s="106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21.75" customHeight="1">
      <c r="A741" s="146" t="s">
        <v>470</v>
      </c>
      <c r="B741" s="29">
        <v>809</v>
      </c>
      <c r="C741" s="79" t="s">
        <v>625</v>
      </c>
      <c r="D741" s="79" t="s">
        <v>106</v>
      </c>
      <c r="E741" s="67" t="s">
        <v>434</v>
      </c>
      <c r="F741" s="67"/>
      <c r="G741" s="96">
        <f aca="true" t="shared" si="69" ref="G741:J742">G742</f>
        <v>4345.2</v>
      </c>
      <c r="H741" s="99">
        <f t="shared" si="69"/>
        <v>2000</v>
      </c>
      <c r="I741" s="99">
        <f t="shared" si="65"/>
        <v>6345.2</v>
      </c>
      <c r="J741" s="99">
        <f t="shared" si="69"/>
        <v>1046.4</v>
      </c>
      <c r="K741" s="96">
        <f t="shared" si="67"/>
        <v>7391.6</v>
      </c>
      <c r="L741" s="106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21.75" customHeight="1">
      <c r="A742" s="136" t="s">
        <v>11</v>
      </c>
      <c r="B742" s="29">
        <v>809</v>
      </c>
      <c r="C742" s="79" t="s">
        <v>625</v>
      </c>
      <c r="D742" s="79" t="s">
        <v>106</v>
      </c>
      <c r="E742" s="67" t="s">
        <v>440</v>
      </c>
      <c r="F742" s="67"/>
      <c r="G742" s="96">
        <f t="shared" si="69"/>
        <v>4345.2</v>
      </c>
      <c r="H742" s="99">
        <f t="shared" si="69"/>
        <v>2000</v>
      </c>
      <c r="I742" s="99">
        <f t="shared" si="65"/>
        <v>6345.2</v>
      </c>
      <c r="J742" s="99">
        <f t="shared" si="69"/>
        <v>1046.4</v>
      </c>
      <c r="K742" s="96">
        <f t="shared" si="67"/>
        <v>7391.6</v>
      </c>
      <c r="L742" s="106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8.75" customHeight="1">
      <c r="A743" s="120" t="s">
        <v>619</v>
      </c>
      <c r="B743" s="29">
        <v>809</v>
      </c>
      <c r="C743" s="79" t="s">
        <v>625</v>
      </c>
      <c r="D743" s="79" t="s">
        <v>106</v>
      </c>
      <c r="E743" s="67" t="s">
        <v>440</v>
      </c>
      <c r="F743" s="67" t="s">
        <v>193</v>
      </c>
      <c r="G743" s="96">
        <v>4345.2</v>
      </c>
      <c r="H743" s="99">
        <v>2000</v>
      </c>
      <c r="I743" s="99">
        <f t="shared" si="65"/>
        <v>6345.2</v>
      </c>
      <c r="J743" s="99">
        <v>1046.4</v>
      </c>
      <c r="K743" s="96">
        <f t="shared" si="67"/>
        <v>7391.6</v>
      </c>
      <c r="L743" s="106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8.75" customHeight="1">
      <c r="A744" s="140" t="s">
        <v>848</v>
      </c>
      <c r="B744" s="29">
        <v>809</v>
      </c>
      <c r="C744" s="79" t="s">
        <v>106</v>
      </c>
      <c r="D744" s="79"/>
      <c r="E744" s="67"/>
      <c r="F744" s="67"/>
      <c r="G744" s="96"/>
      <c r="H744" s="99"/>
      <c r="I744" s="99"/>
      <c r="J744" s="99">
        <f>J745</f>
        <v>111.5</v>
      </c>
      <c r="K744" s="96">
        <f t="shared" si="67"/>
        <v>111.5</v>
      </c>
      <c r="L744" s="106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8.75" customHeight="1">
      <c r="A745" s="140" t="s">
        <v>802</v>
      </c>
      <c r="B745" s="29">
        <v>809</v>
      </c>
      <c r="C745" s="79" t="s">
        <v>106</v>
      </c>
      <c r="D745" s="79" t="s">
        <v>106</v>
      </c>
      <c r="E745" s="67"/>
      <c r="F745" s="67"/>
      <c r="G745" s="96"/>
      <c r="H745" s="99"/>
      <c r="I745" s="99"/>
      <c r="J745" s="99">
        <f>J746</f>
        <v>111.5</v>
      </c>
      <c r="K745" s="96">
        <f t="shared" si="67"/>
        <v>111.5</v>
      </c>
      <c r="L745" s="106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8.75" customHeight="1">
      <c r="A746" s="140" t="s">
        <v>804</v>
      </c>
      <c r="B746" s="29">
        <v>809</v>
      </c>
      <c r="C746" s="79" t="s">
        <v>106</v>
      </c>
      <c r="D746" s="79" t="s">
        <v>106</v>
      </c>
      <c r="E746" s="67" t="s">
        <v>407</v>
      </c>
      <c r="F746" s="67"/>
      <c r="G746" s="96"/>
      <c r="H746" s="99"/>
      <c r="I746" s="99"/>
      <c r="J746" s="99">
        <f>J747</f>
        <v>111.5</v>
      </c>
      <c r="K746" s="96">
        <f t="shared" si="67"/>
        <v>111.5</v>
      </c>
      <c r="L746" s="106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8.75" customHeight="1">
      <c r="A747" s="140" t="s">
        <v>805</v>
      </c>
      <c r="B747" s="29">
        <v>809</v>
      </c>
      <c r="C747" s="79" t="s">
        <v>106</v>
      </c>
      <c r="D747" s="79" t="s">
        <v>106</v>
      </c>
      <c r="E747" s="67" t="s">
        <v>543</v>
      </c>
      <c r="F747" s="67"/>
      <c r="G747" s="96"/>
      <c r="H747" s="99"/>
      <c r="I747" s="99"/>
      <c r="J747" s="99">
        <f>J750+J748</f>
        <v>111.5</v>
      </c>
      <c r="K747" s="96">
        <f t="shared" si="67"/>
        <v>111.5</v>
      </c>
      <c r="L747" s="106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33" customHeight="1">
      <c r="A748" s="140" t="s">
        <v>749</v>
      </c>
      <c r="B748" s="29">
        <v>809</v>
      </c>
      <c r="C748" s="79" t="s">
        <v>106</v>
      </c>
      <c r="D748" s="79" t="s">
        <v>106</v>
      </c>
      <c r="E748" s="67" t="s">
        <v>750</v>
      </c>
      <c r="F748" s="67"/>
      <c r="G748" s="96"/>
      <c r="H748" s="99"/>
      <c r="I748" s="99"/>
      <c r="J748" s="99">
        <f>J749</f>
        <v>1.6</v>
      </c>
      <c r="K748" s="96">
        <f t="shared" si="67"/>
        <v>1.6</v>
      </c>
      <c r="L748" s="106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8.75" customHeight="1">
      <c r="A749" s="141" t="s">
        <v>530</v>
      </c>
      <c r="B749" s="29">
        <v>809</v>
      </c>
      <c r="C749" s="79" t="s">
        <v>106</v>
      </c>
      <c r="D749" s="79" t="s">
        <v>106</v>
      </c>
      <c r="E749" s="67" t="s">
        <v>750</v>
      </c>
      <c r="F749" s="67" t="s">
        <v>831</v>
      </c>
      <c r="G749" s="96"/>
      <c r="H749" s="99"/>
      <c r="I749" s="99"/>
      <c r="J749" s="99">
        <v>1.6</v>
      </c>
      <c r="K749" s="96">
        <f t="shared" si="67"/>
        <v>1.6</v>
      </c>
      <c r="L749" s="106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36" customHeight="1">
      <c r="A750" s="140" t="s">
        <v>178</v>
      </c>
      <c r="B750" s="29">
        <v>809</v>
      </c>
      <c r="C750" s="79" t="s">
        <v>106</v>
      </c>
      <c r="D750" s="79" t="s">
        <v>106</v>
      </c>
      <c r="E750" s="67" t="s">
        <v>851</v>
      </c>
      <c r="F750" s="67"/>
      <c r="G750" s="96"/>
      <c r="H750" s="99"/>
      <c r="I750" s="99"/>
      <c r="J750" s="99">
        <f>J751</f>
        <v>109.9</v>
      </c>
      <c r="K750" s="96">
        <f t="shared" si="67"/>
        <v>109.9</v>
      </c>
      <c r="L750" s="106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8.75" customHeight="1">
      <c r="A751" s="141" t="s">
        <v>530</v>
      </c>
      <c r="B751" s="29">
        <v>809</v>
      </c>
      <c r="C751" s="79" t="s">
        <v>106</v>
      </c>
      <c r="D751" s="79" t="s">
        <v>106</v>
      </c>
      <c r="E751" s="67" t="s">
        <v>851</v>
      </c>
      <c r="F751" s="67" t="s">
        <v>831</v>
      </c>
      <c r="G751" s="96"/>
      <c r="H751" s="99"/>
      <c r="I751" s="99"/>
      <c r="J751" s="99">
        <v>109.9</v>
      </c>
      <c r="K751" s="96">
        <f t="shared" si="67"/>
        <v>109.9</v>
      </c>
      <c r="L751" s="106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9.5" customHeight="1">
      <c r="A752" s="146" t="s">
        <v>510</v>
      </c>
      <c r="B752" s="78">
        <v>809</v>
      </c>
      <c r="C752" s="67" t="s">
        <v>589</v>
      </c>
      <c r="D752" s="67"/>
      <c r="E752" s="67"/>
      <c r="F752" s="67"/>
      <c r="G752" s="96">
        <f aca="true" t="shared" si="70" ref="G752:J756">G753</f>
        <v>992</v>
      </c>
      <c r="H752" s="99">
        <f t="shared" si="70"/>
        <v>0</v>
      </c>
      <c r="I752" s="99">
        <f t="shared" si="65"/>
        <v>992</v>
      </c>
      <c r="J752" s="99">
        <f t="shared" si="70"/>
        <v>0</v>
      </c>
      <c r="K752" s="96">
        <f t="shared" si="67"/>
        <v>992</v>
      </c>
      <c r="L752" s="106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9.5" customHeight="1">
      <c r="A753" s="136" t="s">
        <v>590</v>
      </c>
      <c r="B753" s="78">
        <v>809</v>
      </c>
      <c r="C753" s="67" t="s">
        <v>589</v>
      </c>
      <c r="D753" s="67" t="s">
        <v>28</v>
      </c>
      <c r="E753" s="67"/>
      <c r="F753" s="67"/>
      <c r="G753" s="96">
        <f t="shared" si="70"/>
        <v>992</v>
      </c>
      <c r="H753" s="99">
        <f t="shared" si="70"/>
        <v>0</v>
      </c>
      <c r="I753" s="99">
        <f t="shared" si="65"/>
        <v>992</v>
      </c>
      <c r="J753" s="99">
        <f t="shared" si="70"/>
        <v>0</v>
      </c>
      <c r="K753" s="96">
        <f t="shared" si="67"/>
        <v>992</v>
      </c>
      <c r="L753" s="106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9.5" customHeight="1">
      <c r="A754" s="146" t="s">
        <v>443</v>
      </c>
      <c r="B754" s="78">
        <v>809</v>
      </c>
      <c r="C754" s="67" t="s">
        <v>589</v>
      </c>
      <c r="D754" s="67" t="s">
        <v>28</v>
      </c>
      <c r="E754" s="67" t="s">
        <v>433</v>
      </c>
      <c r="F754" s="67"/>
      <c r="G754" s="96">
        <f t="shared" si="70"/>
        <v>992</v>
      </c>
      <c r="H754" s="99">
        <f t="shared" si="70"/>
        <v>0</v>
      </c>
      <c r="I754" s="99">
        <f t="shared" si="65"/>
        <v>992</v>
      </c>
      <c r="J754" s="99">
        <f t="shared" si="70"/>
        <v>0</v>
      </c>
      <c r="K754" s="96">
        <f t="shared" si="67"/>
        <v>992</v>
      </c>
      <c r="L754" s="106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9.5" customHeight="1">
      <c r="A755" s="146" t="s">
        <v>439</v>
      </c>
      <c r="B755" s="78">
        <v>809</v>
      </c>
      <c r="C755" s="67" t="s">
        <v>589</v>
      </c>
      <c r="D755" s="67" t="s">
        <v>28</v>
      </c>
      <c r="E755" s="67" t="s">
        <v>434</v>
      </c>
      <c r="F755" s="67"/>
      <c r="G755" s="96">
        <f t="shared" si="70"/>
        <v>992</v>
      </c>
      <c r="H755" s="99">
        <f t="shared" si="70"/>
        <v>0</v>
      </c>
      <c r="I755" s="99">
        <f t="shared" si="65"/>
        <v>992</v>
      </c>
      <c r="J755" s="99">
        <f t="shared" si="70"/>
        <v>0</v>
      </c>
      <c r="K755" s="96">
        <f t="shared" si="67"/>
        <v>992</v>
      </c>
      <c r="L755" s="106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9.5" customHeight="1">
      <c r="A756" s="120" t="s">
        <v>444</v>
      </c>
      <c r="B756" s="78">
        <v>809</v>
      </c>
      <c r="C756" s="67" t="s">
        <v>589</v>
      </c>
      <c r="D756" s="67" t="s">
        <v>28</v>
      </c>
      <c r="E756" s="67" t="s">
        <v>445</v>
      </c>
      <c r="F756" s="67"/>
      <c r="G756" s="96">
        <f t="shared" si="70"/>
        <v>992</v>
      </c>
      <c r="H756" s="99">
        <f t="shared" si="70"/>
        <v>0</v>
      </c>
      <c r="I756" s="99">
        <f t="shared" si="65"/>
        <v>992</v>
      </c>
      <c r="J756" s="99">
        <f t="shared" si="70"/>
        <v>0</v>
      </c>
      <c r="K756" s="96">
        <f t="shared" si="67"/>
        <v>992</v>
      </c>
      <c r="L756" s="106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9.5" customHeight="1">
      <c r="A757" s="135" t="s">
        <v>509</v>
      </c>
      <c r="B757" s="78">
        <v>809</v>
      </c>
      <c r="C757" s="67" t="s">
        <v>589</v>
      </c>
      <c r="D757" s="67" t="s">
        <v>28</v>
      </c>
      <c r="E757" s="67" t="s">
        <v>445</v>
      </c>
      <c r="F757" s="67" t="s">
        <v>318</v>
      </c>
      <c r="G757" s="96">
        <v>992</v>
      </c>
      <c r="H757" s="104"/>
      <c r="I757" s="99">
        <f t="shared" si="65"/>
        <v>992</v>
      </c>
      <c r="J757" s="104"/>
      <c r="K757" s="96">
        <f t="shared" si="67"/>
        <v>992</v>
      </c>
      <c r="L757" s="106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8" customHeight="1">
      <c r="A758" s="136" t="s">
        <v>336</v>
      </c>
      <c r="B758" s="29">
        <v>809</v>
      </c>
      <c r="C758" s="79" t="s">
        <v>111</v>
      </c>
      <c r="D758" s="79"/>
      <c r="E758" s="79"/>
      <c r="F758" s="79"/>
      <c r="G758" s="96">
        <f>SUM(G759,G783,G774,G778)</f>
        <v>286181.5</v>
      </c>
      <c r="H758" s="99">
        <f>SUM(H759,H783,H774,H778)</f>
        <v>-1873.3000000000002</v>
      </c>
      <c r="I758" s="99">
        <f t="shared" si="65"/>
        <v>284308.2</v>
      </c>
      <c r="J758" s="99">
        <f>SUM(J759,J783,J774,J778)</f>
        <v>210472.4</v>
      </c>
      <c r="K758" s="96">
        <f t="shared" si="67"/>
        <v>494780.6</v>
      </c>
      <c r="L758" s="106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8" customHeight="1">
      <c r="A759" s="135" t="s">
        <v>293</v>
      </c>
      <c r="B759" s="29">
        <v>809</v>
      </c>
      <c r="C759" s="79" t="s">
        <v>111</v>
      </c>
      <c r="D759" s="79" t="s">
        <v>24</v>
      </c>
      <c r="E759" s="79"/>
      <c r="F759" s="79"/>
      <c r="G759" s="96">
        <f>SUM(G760,G767)</f>
        <v>178616.2</v>
      </c>
      <c r="H759" s="99">
        <f>SUM(H760,H767)</f>
        <v>-1884.9</v>
      </c>
      <c r="I759" s="99">
        <f t="shared" si="65"/>
        <v>176731.30000000002</v>
      </c>
      <c r="J759" s="99">
        <f>SUM(J760,J767)</f>
        <v>10261.4</v>
      </c>
      <c r="K759" s="96">
        <f t="shared" si="67"/>
        <v>186992.7</v>
      </c>
      <c r="L759" s="106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8" customHeight="1">
      <c r="A760" s="136" t="s">
        <v>585</v>
      </c>
      <c r="B760" s="29">
        <v>809</v>
      </c>
      <c r="C760" s="79" t="s">
        <v>111</v>
      </c>
      <c r="D760" s="79" t="s">
        <v>24</v>
      </c>
      <c r="E760" s="79" t="s">
        <v>252</v>
      </c>
      <c r="F760" s="79"/>
      <c r="G760" s="96">
        <f>SUM(G761)</f>
        <v>164698</v>
      </c>
      <c r="H760" s="99">
        <f>SUM(H761)</f>
        <v>115.1</v>
      </c>
      <c r="I760" s="99">
        <f t="shared" si="65"/>
        <v>164813.1</v>
      </c>
      <c r="J760" s="99">
        <f>SUM(J761)</f>
        <v>10442.8</v>
      </c>
      <c r="K760" s="96">
        <f t="shared" si="67"/>
        <v>175255.9</v>
      </c>
      <c r="L760" s="106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32.25" customHeight="1">
      <c r="A761" s="124" t="s">
        <v>706</v>
      </c>
      <c r="B761" s="29">
        <v>809</v>
      </c>
      <c r="C761" s="79" t="s">
        <v>111</v>
      </c>
      <c r="D761" s="79" t="s">
        <v>24</v>
      </c>
      <c r="E761" s="79" t="s">
        <v>253</v>
      </c>
      <c r="F761" s="79"/>
      <c r="G761" s="96">
        <f>G762</f>
        <v>164698</v>
      </c>
      <c r="H761" s="99">
        <f>H762</f>
        <v>115.1</v>
      </c>
      <c r="I761" s="99">
        <f t="shared" si="65"/>
        <v>164813.1</v>
      </c>
      <c r="J761" s="99">
        <f>J762</f>
        <v>10442.8</v>
      </c>
      <c r="K761" s="96">
        <f t="shared" si="67"/>
        <v>175255.9</v>
      </c>
      <c r="L761" s="106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8" customHeight="1">
      <c r="A762" s="124" t="s">
        <v>229</v>
      </c>
      <c r="B762" s="29">
        <v>809</v>
      </c>
      <c r="C762" s="79" t="s">
        <v>111</v>
      </c>
      <c r="D762" s="79" t="s">
        <v>24</v>
      </c>
      <c r="E762" s="79" t="s">
        <v>253</v>
      </c>
      <c r="F762" s="79" t="s">
        <v>660</v>
      </c>
      <c r="G762" s="96">
        <v>164698</v>
      </c>
      <c r="H762" s="104">
        <v>115.1</v>
      </c>
      <c r="I762" s="99">
        <f t="shared" si="65"/>
        <v>164813.1</v>
      </c>
      <c r="J762" s="104">
        <v>10442.8</v>
      </c>
      <c r="K762" s="96">
        <f t="shared" si="67"/>
        <v>175255.9</v>
      </c>
      <c r="L762" s="106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8" customHeight="1" hidden="1">
      <c r="A763" s="120" t="s">
        <v>118</v>
      </c>
      <c r="B763" s="29">
        <v>809</v>
      </c>
      <c r="C763" s="79" t="s">
        <v>111</v>
      </c>
      <c r="D763" s="79" t="s">
        <v>24</v>
      </c>
      <c r="E763" s="79" t="s">
        <v>99</v>
      </c>
      <c r="F763" s="79"/>
      <c r="G763" s="96">
        <f>SUM(G764)</f>
        <v>0</v>
      </c>
      <c r="H763" s="104"/>
      <c r="I763" s="99">
        <f t="shared" si="65"/>
        <v>0</v>
      </c>
      <c r="J763" s="104"/>
      <c r="K763" s="96">
        <f t="shared" si="67"/>
        <v>0</v>
      </c>
      <c r="L763" s="106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8" customHeight="1" hidden="1">
      <c r="A764" s="153" t="s">
        <v>401</v>
      </c>
      <c r="B764" s="29">
        <v>809</v>
      </c>
      <c r="C764" s="79" t="s">
        <v>111</v>
      </c>
      <c r="D764" s="79" t="s">
        <v>24</v>
      </c>
      <c r="E764" s="79" t="s">
        <v>366</v>
      </c>
      <c r="F764" s="79"/>
      <c r="G764" s="96">
        <f>SUM(G765)</f>
        <v>0</v>
      </c>
      <c r="H764" s="104"/>
      <c r="I764" s="99">
        <f t="shared" si="65"/>
        <v>0</v>
      </c>
      <c r="J764" s="104"/>
      <c r="K764" s="96">
        <f t="shared" si="67"/>
        <v>0</v>
      </c>
      <c r="L764" s="106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8" customHeight="1" hidden="1">
      <c r="A765" s="120" t="s">
        <v>141</v>
      </c>
      <c r="B765" s="29">
        <v>809</v>
      </c>
      <c r="C765" s="79" t="s">
        <v>111</v>
      </c>
      <c r="D765" s="79" t="s">
        <v>24</v>
      </c>
      <c r="E765" s="79" t="s">
        <v>285</v>
      </c>
      <c r="F765" s="79"/>
      <c r="G765" s="96">
        <f>SUM(G766)</f>
        <v>0</v>
      </c>
      <c r="H765" s="104"/>
      <c r="I765" s="99">
        <f t="shared" si="65"/>
        <v>0</v>
      </c>
      <c r="J765" s="104"/>
      <c r="K765" s="96">
        <f t="shared" si="67"/>
        <v>0</v>
      </c>
      <c r="L765" s="106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8" customHeight="1" hidden="1">
      <c r="A766" s="135" t="s">
        <v>297</v>
      </c>
      <c r="B766" s="29">
        <v>809</v>
      </c>
      <c r="C766" s="79" t="s">
        <v>111</v>
      </c>
      <c r="D766" s="79" t="s">
        <v>24</v>
      </c>
      <c r="E766" s="79" t="s">
        <v>285</v>
      </c>
      <c r="F766" s="79" t="s">
        <v>337</v>
      </c>
      <c r="G766" s="96"/>
      <c r="H766" s="104"/>
      <c r="I766" s="99">
        <f t="shared" si="65"/>
        <v>0</v>
      </c>
      <c r="J766" s="104"/>
      <c r="K766" s="96">
        <f t="shared" si="67"/>
        <v>0</v>
      </c>
      <c r="L766" s="106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8" customHeight="1">
      <c r="A767" s="146" t="s">
        <v>441</v>
      </c>
      <c r="B767" s="29">
        <v>809</v>
      </c>
      <c r="C767" s="79" t="s">
        <v>111</v>
      </c>
      <c r="D767" s="79" t="s">
        <v>24</v>
      </c>
      <c r="E767" s="79" t="s">
        <v>433</v>
      </c>
      <c r="F767" s="79"/>
      <c r="G767" s="96">
        <f>G768</f>
        <v>13918.199999999999</v>
      </c>
      <c r="H767" s="99">
        <f>H768</f>
        <v>-2000</v>
      </c>
      <c r="I767" s="99">
        <f t="shared" si="65"/>
        <v>11918.199999999999</v>
      </c>
      <c r="J767" s="99">
        <f>J768</f>
        <v>-181.4000000000001</v>
      </c>
      <c r="K767" s="96">
        <f t="shared" si="67"/>
        <v>11736.8</v>
      </c>
      <c r="L767" s="106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8" customHeight="1">
      <c r="A768" s="146" t="s">
        <v>470</v>
      </c>
      <c r="B768" s="78">
        <v>809</v>
      </c>
      <c r="C768" s="67" t="s">
        <v>111</v>
      </c>
      <c r="D768" s="67" t="s">
        <v>24</v>
      </c>
      <c r="E768" s="67" t="s">
        <v>434</v>
      </c>
      <c r="F768" s="67"/>
      <c r="G768" s="96">
        <f>G769+G771</f>
        <v>13918.199999999999</v>
      </c>
      <c r="H768" s="99">
        <f>H769+H771</f>
        <v>-2000</v>
      </c>
      <c r="I768" s="99">
        <f t="shared" si="65"/>
        <v>11918.199999999999</v>
      </c>
      <c r="J768" s="99">
        <f>J769+J771</f>
        <v>-181.4000000000001</v>
      </c>
      <c r="K768" s="96">
        <f t="shared" si="67"/>
        <v>11736.8</v>
      </c>
      <c r="L768" s="106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8" customHeight="1">
      <c r="A769" s="136" t="s">
        <v>278</v>
      </c>
      <c r="B769" s="78">
        <v>809</v>
      </c>
      <c r="C769" s="67" t="s">
        <v>111</v>
      </c>
      <c r="D769" s="67" t="s">
        <v>24</v>
      </c>
      <c r="E769" s="67" t="s">
        <v>446</v>
      </c>
      <c r="F769" s="67"/>
      <c r="G769" s="96">
        <f>G770</f>
        <v>1045.3</v>
      </c>
      <c r="H769" s="99">
        <f>H770</f>
        <v>0</v>
      </c>
      <c r="I769" s="99">
        <f t="shared" si="65"/>
        <v>1045.3</v>
      </c>
      <c r="J769" s="99">
        <f>J770</f>
        <v>15</v>
      </c>
      <c r="K769" s="96">
        <f t="shared" si="67"/>
        <v>1060.3</v>
      </c>
      <c r="L769" s="106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20.25" customHeight="1">
      <c r="A770" s="145" t="s">
        <v>229</v>
      </c>
      <c r="B770" s="78">
        <v>809</v>
      </c>
      <c r="C770" s="67" t="s">
        <v>111</v>
      </c>
      <c r="D770" s="67" t="s">
        <v>24</v>
      </c>
      <c r="E770" s="67" t="s">
        <v>446</v>
      </c>
      <c r="F770" s="67" t="s">
        <v>660</v>
      </c>
      <c r="G770" s="96">
        <v>1045.3</v>
      </c>
      <c r="H770" s="104"/>
      <c r="I770" s="99">
        <f t="shared" si="65"/>
        <v>1045.3</v>
      </c>
      <c r="J770" s="104">
        <v>15</v>
      </c>
      <c r="K770" s="96">
        <f t="shared" si="67"/>
        <v>1060.3</v>
      </c>
      <c r="L770" s="106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8" customHeight="1">
      <c r="A771" s="136" t="s">
        <v>11</v>
      </c>
      <c r="B771" s="78">
        <v>809</v>
      </c>
      <c r="C771" s="67" t="s">
        <v>111</v>
      </c>
      <c r="D771" s="67" t="s">
        <v>24</v>
      </c>
      <c r="E771" s="67" t="s">
        <v>440</v>
      </c>
      <c r="F771" s="67"/>
      <c r="G771" s="96">
        <f>SUM(G772:G773)</f>
        <v>12872.9</v>
      </c>
      <c r="H771" s="99">
        <f>SUM(H772:H773)</f>
        <v>-2000</v>
      </c>
      <c r="I771" s="99">
        <f t="shared" si="65"/>
        <v>10872.9</v>
      </c>
      <c r="J771" s="99">
        <f>SUM(J772:J773)</f>
        <v>-196.4000000000001</v>
      </c>
      <c r="K771" s="96">
        <f t="shared" si="67"/>
        <v>10676.5</v>
      </c>
      <c r="L771" s="106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8" customHeight="1">
      <c r="A772" s="135" t="s">
        <v>509</v>
      </c>
      <c r="B772" s="78">
        <v>809</v>
      </c>
      <c r="C772" s="67" t="s">
        <v>111</v>
      </c>
      <c r="D772" s="67" t="s">
        <v>24</v>
      </c>
      <c r="E772" s="67" t="s">
        <v>440</v>
      </c>
      <c r="F772" s="67" t="s">
        <v>318</v>
      </c>
      <c r="G772" s="96">
        <v>5500</v>
      </c>
      <c r="H772" s="99">
        <v>-2000</v>
      </c>
      <c r="I772" s="99">
        <f t="shared" si="65"/>
        <v>3500</v>
      </c>
      <c r="J772" s="99">
        <v>850</v>
      </c>
      <c r="K772" s="96">
        <f t="shared" si="67"/>
        <v>4350</v>
      </c>
      <c r="L772" s="106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22.5" customHeight="1">
      <c r="A773" s="145" t="s">
        <v>229</v>
      </c>
      <c r="B773" s="78">
        <v>809</v>
      </c>
      <c r="C773" s="67" t="s">
        <v>111</v>
      </c>
      <c r="D773" s="67" t="s">
        <v>24</v>
      </c>
      <c r="E773" s="67" t="s">
        <v>440</v>
      </c>
      <c r="F773" s="67" t="s">
        <v>660</v>
      </c>
      <c r="G773" s="96">
        <v>7372.9</v>
      </c>
      <c r="H773" s="104"/>
      <c r="I773" s="99">
        <f t="shared" si="65"/>
        <v>7372.9</v>
      </c>
      <c r="J773" s="104">
        <v>-1046.4</v>
      </c>
      <c r="K773" s="96">
        <f t="shared" si="67"/>
        <v>6326.5</v>
      </c>
      <c r="L773" s="106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8" customHeight="1">
      <c r="A774" s="135" t="s">
        <v>610</v>
      </c>
      <c r="B774" s="78">
        <v>809</v>
      </c>
      <c r="C774" s="67" t="s">
        <v>111</v>
      </c>
      <c r="D774" s="67" t="s">
        <v>25</v>
      </c>
      <c r="E774" s="67"/>
      <c r="F774" s="67"/>
      <c r="G774" s="96">
        <f aca="true" t="shared" si="71" ref="G774:J776">G775</f>
        <v>820</v>
      </c>
      <c r="H774" s="99">
        <f t="shared" si="71"/>
        <v>0</v>
      </c>
      <c r="I774" s="99">
        <f t="shared" si="65"/>
        <v>820</v>
      </c>
      <c r="J774" s="99">
        <f t="shared" si="71"/>
        <v>-300</v>
      </c>
      <c r="K774" s="96">
        <f t="shared" si="67"/>
        <v>520</v>
      </c>
      <c r="L774" s="106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8" customHeight="1">
      <c r="A775" s="121" t="s">
        <v>818</v>
      </c>
      <c r="B775" s="78">
        <v>809</v>
      </c>
      <c r="C775" s="67" t="s">
        <v>111</v>
      </c>
      <c r="D775" s="67" t="s">
        <v>25</v>
      </c>
      <c r="E775" s="67" t="s">
        <v>252</v>
      </c>
      <c r="F775" s="67"/>
      <c r="G775" s="96">
        <f t="shared" si="71"/>
        <v>820</v>
      </c>
      <c r="H775" s="99">
        <f t="shared" si="71"/>
        <v>0</v>
      </c>
      <c r="I775" s="99">
        <f t="shared" si="65"/>
        <v>820</v>
      </c>
      <c r="J775" s="99">
        <f t="shared" si="71"/>
        <v>-300</v>
      </c>
      <c r="K775" s="96">
        <f t="shared" si="67"/>
        <v>520</v>
      </c>
      <c r="L775" s="106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32.25" customHeight="1">
      <c r="A776" s="124" t="s">
        <v>706</v>
      </c>
      <c r="B776" s="78">
        <v>809</v>
      </c>
      <c r="C776" s="67" t="s">
        <v>111</v>
      </c>
      <c r="D776" s="67" t="s">
        <v>25</v>
      </c>
      <c r="E776" s="79" t="s">
        <v>253</v>
      </c>
      <c r="F776" s="67"/>
      <c r="G776" s="96">
        <f t="shared" si="71"/>
        <v>820</v>
      </c>
      <c r="H776" s="99">
        <f t="shared" si="71"/>
        <v>0</v>
      </c>
      <c r="I776" s="99">
        <f t="shared" si="65"/>
        <v>820</v>
      </c>
      <c r="J776" s="99">
        <f t="shared" si="71"/>
        <v>-300</v>
      </c>
      <c r="K776" s="96">
        <f t="shared" si="67"/>
        <v>520</v>
      </c>
      <c r="L776" s="106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8.75" customHeight="1">
      <c r="A777" s="145" t="s">
        <v>229</v>
      </c>
      <c r="B777" s="78">
        <v>809</v>
      </c>
      <c r="C777" s="67" t="s">
        <v>111</v>
      </c>
      <c r="D777" s="67" t="s">
        <v>25</v>
      </c>
      <c r="E777" s="79" t="s">
        <v>253</v>
      </c>
      <c r="F777" s="67" t="s">
        <v>660</v>
      </c>
      <c r="G777" s="96">
        <v>820</v>
      </c>
      <c r="H777" s="104"/>
      <c r="I777" s="99">
        <f t="shared" si="65"/>
        <v>820</v>
      </c>
      <c r="J777" s="104">
        <v>-300</v>
      </c>
      <c r="K777" s="96">
        <f t="shared" si="67"/>
        <v>520</v>
      </c>
      <c r="L777" s="106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8" customHeight="1">
      <c r="A778" s="135" t="s">
        <v>550</v>
      </c>
      <c r="B778" s="78">
        <v>809</v>
      </c>
      <c r="C778" s="67" t="s">
        <v>111</v>
      </c>
      <c r="D778" s="67" t="s">
        <v>26</v>
      </c>
      <c r="E778" s="79"/>
      <c r="F778" s="67"/>
      <c r="G778" s="96">
        <f>G781</f>
        <v>100000</v>
      </c>
      <c r="H778" s="99">
        <f>H781</f>
        <v>0</v>
      </c>
      <c r="I778" s="99">
        <f t="shared" si="65"/>
        <v>100000</v>
      </c>
      <c r="J778" s="99">
        <f>J781</f>
        <v>200000</v>
      </c>
      <c r="K778" s="96">
        <f t="shared" si="67"/>
        <v>300000</v>
      </c>
      <c r="L778" s="106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33.75" customHeight="1">
      <c r="A779" s="135" t="s">
        <v>409</v>
      </c>
      <c r="B779" s="78">
        <v>809</v>
      </c>
      <c r="C779" s="67" t="s">
        <v>111</v>
      </c>
      <c r="D779" s="67" t="s">
        <v>26</v>
      </c>
      <c r="E779" s="79" t="s">
        <v>408</v>
      </c>
      <c r="F779" s="67"/>
      <c r="G779" s="96">
        <f aca="true" t="shared" si="72" ref="G779:J781">G780</f>
        <v>100000</v>
      </c>
      <c r="H779" s="99">
        <f t="shared" si="72"/>
        <v>0</v>
      </c>
      <c r="I779" s="99">
        <f t="shared" si="65"/>
        <v>100000</v>
      </c>
      <c r="J779" s="99">
        <f t="shared" si="72"/>
        <v>200000</v>
      </c>
      <c r="K779" s="96">
        <f t="shared" si="67"/>
        <v>300000</v>
      </c>
      <c r="L779" s="106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8" customHeight="1">
      <c r="A780" s="135" t="s">
        <v>410</v>
      </c>
      <c r="B780" s="78">
        <v>809</v>
      </c>
      <c r="C780" s="67" t="s">
        <v>111</v>
      </c>
      <c r="D780" s="67" t="s">
        <v>26</v>
      </c>
      <c r="E780" s="79" t="s">
        <v>548</v>
      </c>
      <c r="F780" s="67"/>
      <c r="G780" s="96">
        <f t="shared" si="72"/>
        <v>100000</v>
      </c>
      <c r="H780" s="99">
        <f t="shared" si="72"/>
        <v>0</v>
      </c>
      <c r="I780" s="99">
        <f t="shared" si="65"/>
        <v>100000</v>
      </c>
      <c r="J780" s="99">
        <f t="shared" si="72"/>
        <v>200000</v>
      </c>
      <c r="K780" s="96">
        <f t="shared" si="67"/>
        <v>300000</v>
      </c>
      <c r="L780" s="106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8" customHeight="1">
      <c r="A781" s="120" t="s">
        <v>756</v>
      </c>
      <c r="B781" s="78">
        <v>809</v>
      </c>
      <c r="C781" s="67" t="s">
        <v>111</v>
      </c>
      <c r="D781" s="67" t="s">
        <v>26</v>
      </c>
      <c r="E781" s="79" t="s">
        <v>549</v>
      </c>
      <c r="F781" s="67"/>
      <c r="G781" s="96">
        <f t="shared" si="72"/>
        <v>100000</v>
      </c>
      <c r="H781" s="99">
        <f t="shared" si="72"/>
        <v>0</v>
      </c>
      <c r="I781" s="99">
        <f t="shared" si="65"/>
        <v>100000</v>
      </c>
      <c r="J781" s="99">
        <f t="shared" si="72"/>
        <v>200000</v>
      </c>
      <c r="K781" s="96">
        <f t="shared" si="67"/>
        <v>300000</v>
      </c>
      <c r="L781" s="106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8" customHeight="1">
      <c r="A782" s="135" t="s">
        <v>717</v>
      </c>
      <c r="B782" s="78">
        <v>809</v>
      </c>
      <c r="C782" s="67" t="s">
        <v>111</v>
      </c>
      <c r="D782" s="67" t="s">
        <v>26</v>
      </c>
      <c r="E782" s="79" t="s">
        <v>549</v>
      </c>
      <c r="F782" s="67" t="s">
        <v>318</v>
      </c>
      <c r="G782" s="96">
        <v>100000</v>
      </c>
      <c r="H782" s="104"/>
      <c r="I782" s="99">
        <f t="shared" si="65"/>
        <v>100000</v>
      </c>
      <c r="J782" s="104">
        <v>200000</v>
      </c>
      <c r="K782" s="96">
        <f t="shared" si="67"/>
        <v>300000</v>
      </c>
      <c r="L782" s="106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8" customHeight="1">
      <c r="A783" s="135" t="s">
        <v>611</v>
      </c>
      <c r="B783" s="78">
        <v>809</v>
      </c>
      <c r="C783" s="67" t="s">
        <v>111</v>
      </c>
      <c r="D783" s="67" t="s">
        <v>108</v>
      </c>
      <c r="E783" s="67"/>
      <c r="F783" s="67"/>
      <c r="G783" s="96">
        <f>SUM(G784,G787)</f>
        <v>6745.3</v>
      </c>
      <c r="H783" s="99">
        <f>SUM(H784,H787)</f>
        <v>11.6</v>
      </c>
      <c r="I783" s="99">
        <f t="shared" si="65"/>
        <v>6756.900000000001</v>
      </c>
      <c r="J783" s="99">
        <f>SUM(J784,J787)</f>
        <v>511</v>
      </c>
      <c r="K783" s="96">
        <f t="shared" si="67"/>
        <v>7267.900000000001</v>
      </c>
      <c r="L783" s="106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52.5" customHeight="1">
      <c r="A784" s="124" t="s">
        <v>93</v>
      </c>
      <c r="B784" s="78">
        <v>809</v>
      </c>
      <c r="C784" s="67" t="s">
        <v>111</v>
      </c>
      <c r="D784" s="67" t="s">
        <v>108</v>
      </c>
      <c r="E784" s="67" t="s">
        <v>94</v>
      </c>
      <c r="F784" s="67"/>
      <c r="G784" s="96">
        <f aca="true" t="shared" si="73" ref="G784:J785">SUM(G785)</f>
        <v>2838.5</v>
      </c>
      <c r="H784" s="99">
        <f t="shared" si="73"/>
        <v>5.8</v>
      </c>
      <c r="I784" s="99">
        <f t="shared" si="65"/>
        <v>2844.3</v>
      </c>
      <c r="J784" s="99">
        <f t="shared" si="73"/>
        <v>247</v>
      </c>
      <c r="K784" s="96">
        <f t="shared" si="67"/>
        <v>3091.3</v>
      </c>
      <c r="L784" s="106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8" customHeight="1">
      <c r="A785" s="124" t="s">
        <v>98</v>
      </c>
      <c r="B785" s="78">
        <v>809</v>
      </c>
      <c r="C785" s="67" t="s">
        <v>111</v>
      </c>
      <c r="D785" s="67" t="s">
        <v>108</v>
      </c>
      <c r="E785" s="67" t="s">
        <v>96</v>
      </c>
      <c r="F785" s="67"/>
      <c r="G785" s="96">
        <f t="shared" si="73"/>
        <v>2838.5</v>
      </c>
      <c r="H785" s="99">
        <f t="shared" si="73"/>
        <v>5.8</v>
      </c>
      <c r="I785" s="99">
        <f t="shared" si="65"/>
        <v>2844.3</v>
      </c>
      <c r="J785" s="99">
        <f t="shared" si="73"/>
        <v>247</v>
      </c>
      <c r="K785" s="96">
        <f t="shared" si="67"/>
        <v>3091.3</v>
      </c>
      <c r="L785" s="106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8" customHeight="1">
      <c r="A786" s="120" t="s">
        <v>438</v>
      </c>
      <c r="B786" s="78">
        <v>809</v>
      </c>
      <c r="C786" s="67" t="s">
        <v>111</v>
      </c>
      <c r="D786" s="67" t="s">
        <v>108</v>
      </c>
      <c r="E786" s="67" t="s">
        <v>96</v>
      </c>
      <c r="F786" s="67" t="s">
        <v>277</v>
      </c>
      <c r="G786" s="96">
        <f>2703.5+135</f>
        <v>2838.5</v>
      </c>
      <c r="H786" s="104">
        <v>5.8</v>
      </c>
      <c r="I786" s="99">
        <f aca="true" t="shared" si="74" ref="I786:I868">H786+G786</f>
        <v>2844.3</v>
      </c>
      <c r="J786" s="104">
        <v>247</v>
      </c>
      <c r="K786" s="96">
        <f aca="true" t="shared" si="75" ref="K786:K849">I786+J786</f>
        <v>3091.3</v>
      </c>
      <c r="L786" s="106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54.75" customHeight="1">
      <c r="A787" s="124" t="s">
        <v>45</v>
      </c>
      <c r="B787" s="78">
        <v>809</v>
      </c>
      <c r="C787" s="67" t="s">
        <v>111</v>
      </c>
      <c r="D787" s="67" t="s">
        <v>108</v>
      </c>
      <c r="E787" s="67" t="s">
        <v>648</v>
      </c>
      <c r="F787" s="67"/>
      <c r="G787" s="96">
        <f>SUM(G788,G790)</f>
        <v>3906.8</v>
      </c>
      <c r="H787" s="99">
        <f>SUM(H788,H790)</f>
        <v>5.8</v>
      </c>
      <c r="I787" s="99">
        <f t="shared" si="74"/>
        <v>3912.6000000000004</v>
      </c>
      <c r="J787" s="99">
        <f>SUM(J788,J790)</f>
        <v>264</v>
      </c>
      <c r="K787" s="96">
        <f t="shared" si="75"/>
        <v>4176.6</v>
      </c>
      <c r="L787" s="106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8" customHeight="1" hidden="1">
      <c r="A788" s="136" t="s">
        <v>593</v>
      </c>
      <c r="B788" s="78">
        <v>809</v>
      </c>
      <c r="C788" s="67" t="s">
        <v>111</v>
      </c>
      <c r="D788" s="67" t="s">
        <v>108</v>
      </c>
      <c r="E788" s="67" t="s">
        <v>597</v>
      </c>
      <c r="F788" s="67"/>
      <c r="G788" s="96">
        <f>SUM(G789)</f>
        <v>0</v>
      </c>
      <c r="H788" s="99">
        <f>SUM(H789)</f>
        <v>0</v>
      </c>
      <c r="I788" s="99">
        <f t="shared" si="74"/>
        <v>0</v>
      </c>
      <c r="J788" s="99">
        <f>SUM(J789)</f>
        <v>0</v>
      </c>
      <c r="K788" s="96">
        <f t="shared" si="75"/>
        <v>0</v>
      </c>
      <c r="L788" s="106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8" customHeight="1" hidden="1">
      <c r="A789" s="124" t="s">
        <v>63</v>
      </c>
      <c r="B789" s="78">
        <v>809</v>
      </c>
      <c r="C789" s="67" t="s">
        <v>111</v>
      </c>
      <c r="D789" s="67" t="s">
        <v>108</v>
      </c>
      <c r="E789" s="67" t="s">
        <v>597</v>
      </c>
      <c r="F789" s="67" t="s">
        <v>660</v>
      </c>
      <c r="G789" s="96"/>
      <c r="H789" s="99"/>
      <c r="I789" s="99">
        <f t="shared" si="74"/>
        <v>0</v>
      </c>
      <c r="J789" s="99"/>
      <c r="K789" s="96">
        <f t="shared" si="75"/>
        <v>0</v>
      </c>
      <c r="L789" s="106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8" customHeight="1">
      <c r="A790" s="136" t="s">
        <v>480</v>
      </c>
      <c r="B790" s="78">
        <v>809</v>
      </c>
      <c r="C790" s="67" t="s">
        <v>111</v>
      </c>
      <c r="D790" s="67" t="s">
        <v>108</v>
      </c>
      <c r="E790" s="67" t="s">
        <v>649</v>
      </c>
      <c r="F790" s="67"/>
      <c r="G790" s="96">
        <f>SUM(G791)</f>
        <v>3906.8</v>
      </c>
      <c r="H790" s="99">
        <f>SUM(H791)</f>
        <v>5.8</v>
      </c>
      <c r="I790" s="99">
        <f t="shared" si="74"/>
        <v>3912.6000000000004</v>
      </c>
      <c r="J790" s="99">
        <f>SUM(J791)</f>
        <v>264</v>
      </c>
      <c r="K790" s="96">
        <f t="shared" si="75"/>
        <v>4176.6</v>
      </c>
      <c r="L790" s="106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8" customHeight="1">
      <c r="A791" s="124" t="s">
        <v>63</v>
      </c>
      <c r="B791" s="78">
        <v>809</v>
      </c>
      <c r="C791" s="67" t="s">
        <v>111</v>
      </c>
      <c r="D791" s="67" t="s">
        <v>108</v>
      </c>
      <c r="E791" s="67" t="s">
        <v>649</v>
      </c>
      <c r="F791" s="67" t="s">
        <v>660</v>
      </c>
      <c r="G791" s="96">
        <v>3906.8</v>
      </c>
      <c r="H791" s="104">
        <v>5.8</v>
      </c>
      <c r="I791" s="99">
        <f t="shared" si="74"/>
        <v>3912.6000000000004</v>
      </c>
      <c r="J791" s="104">
        <v>264</v>
      </c>
      <c r="K791" s="96">
        <f t="shared" si="75"/>
        <v>4176.6</v>
      </c>
      <c r="L791" s="106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8" customHeight="1">
      <c r="A792" s="137" t="s">
        <v>163</v>
      </c>
      <c r="B792" s="78">
        <v>810</v>
      </c>
      <c r="C792" s="67"/>
      <c r="D792" s="67"/>
      <c r="E792" s="67"/>
      <c r="F792" s="67"/>
      <c r="G792" s="96">
        <f>SUM(G803,G824,G793)</f>
        <v>898486.7000000001</v>
      </c>
      <c r="H792" s="99">
        <f>SUM(H803,H824,H793)</f>
        <v>12806.199999999999</v>
      </c>
      <c r="I792" s="99">
        <f t="shared" si="74"/>
        <v>911292.9</v>
      </c>
      <c r="J792" s="99">
        <f>SUM(J803,J824,J793,J816,)</f>
        <v>26809.2</v>
      </c>
      <c r="K792" s="96">
        <f t="shared" si="75"/>
        <v>938102.1</v>
      </c>
      <c r="L792" s="106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8" customHeight="1">
      <c r="A793" s="137" t="s">
        <v>537</v>
      </c>
      <c r="B793" s="78">
        <v>810</v>
      </c>
      <c r="C793" s="67" t="s">
        <v>27</v>
      </c>
      <c r="D793" s="67"/>
      <c r="E793" s="67"/>
      <c r="F793" s="67"/>
      <c r="G793" s="96">
        <f>G794</f>
        <v>0</v>
      </c>
      <c r="H793" s="99">
        <f>H794</f>
        <v>1781.3999999999999</v>
      </c>
      <c r="I793" s="99">
        <f t="shared" si="74"/>
        <v>1781.3999999999999</v>
      </c>
      <c r="J793" s="99">
        <f>J794</f>
        <v>1367.6</v>
      </c>
      <c r="K793" s="96">
        <f t="shared" si="75"/>
        <v>3149</v>
      </c>
      <c r="L793" s="106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8" customHeight="1">
      <c r="A794" s="120" t="s">
        <v>855</v>
      </c>
      <c r="B794" s="78">
        <v>810</v>
      </c>
      <c r="C794" s="67" t="s">
        <v>27</v>
      </c>
      <c r="D794" s="67" t="s">
        <v>24</v>
      </c>
      <c r="E794" s="67"/>
      <c r="F794" s="67"/>
      <c r="G794" s="96">
        <f>G795+G800</f>
        <v>0</v>
      </c>
      <c r="H794" s="99">
        <f>H795+H800</f>
        <v>1781.3999999999999</v>
      </c>
      <c r="I794" s="99">
        <f t="shared" si="74"/>
        <v>1781.3999999999999</v>
      </c>
      <c r="J794" s="99">
        <f>J795+J800</f>
        <v>1367.6</v>
      </c>
      <c r="K794" s="96">
        <f t="shared" si="75"/>
        <v>3149</v>
      </c>
      <c r="L794" s="106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8" customHeight="1">
      <c r="A795" s="120" t="s">
        <v>857</v>
      </c>
      <c r="B795" s="78">
        <v>810</v>
      </c>
      <c r="C795" s="67" t="s">
        <v>27</v>
      </c>
      <c r="D795" s="67" t="s">
        <v>24</v>
      </c>
      <c r="E795" s="67" t="s">
        <v>856</v>
      </c>
      <c r="F795" s="67"/>
      <c r="G795" s="96">
        <f>G796+G798</f>
        <v>0</v>
      </c>
      <c r="H795" s="99">
        <f>H796+H798</f>
        <v>1781.3999999999999</v>
      </c>
      <c r="I795" s="99">
        <f t="shared" si="74"/>
        <v>1781.3999999999999</v>
      </c>
      <c r="J795" s="99">
        <f>J796+J798</f>
        <v>1300</v>
      </c>
      <c r="K795" s="96">
        <f t="shared" si="75"/>
        <v>3081.3999999999996</v>
      </c>
      <c r="L795" s="106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36" customHeight="1">
      <c r="A796" s="120" t="s">
        <v>859</v>
      </c>
      <c r="B796" s="78">
        <v>810</v>
      </c>
      <c r="C796" s="67" t="s">
        <v>27</v>
      </c>
      <c r="D796" s="67" t="s">
        <v>24</v>
      </c>
      <c r="E796" s="67" t="s">
        <v>858</v>
      </c>
      <c r="F796" s="67"/>
      <c r="G796" s="96">
        <f>G797</f>
        <v>0</v>
      </c>
      <c r="H796" s="99">
        <f>H797</f>
        <v>1781.3999999999999</v>
      </c>
      <c r="I796" s="99">
        <f t="shared" si="74"/>
        <v>1781.3999999999999</v>
      </c>
      <c r="J796" s="99">
        <f>J797</f>
        <v>0</v>
      </c>
      <c r="K796" s="96">
        <f t="shared" si="75"/>
        <v>1781.3999999999999</v>
      </c>
      <c r="L796" s="106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8" customHeight="1">
      <c r="A797" s="124" t="s">
        <v>63</v>
      </c>
      <c r="B797" s="78">
        <v>810</v>
      </c>
      <c r="C797" s="67" t="s">
        <v>27</v>
      </c>
      <c r="D797" s="67" t="s">
        <v>24</v>
      </c>
      <c r="E797" s="67" t="s">
        <v>858</v>
      </c>
      <c r="F797" s="67" t="s">
        <v>660</v>
      </c>
      <c r="G797" s="96"/>
      <c r="H797" s="99">
        <f>1638.8+142.6</f>
        <v>1781.3999999999999</v>
      </c>
      <c r="I797" s="99">
        <f t="shared" si="74"/>
        <v>1781.3999999999999</v>
      </c>
      <c r="J797" s="99"/>
      <c r="K797" s="96">
        <f t="shared" si="75"/>
        <v>1781.3999999999999</v>
      </c>
      <c r="L797" s="106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33" customHeight="1">
      <c r="A798" s="124" t="s">
        <v>58</v>
      </c>
      <c r="B798" s="78">
        <v>810</v>
      </c>
      <c r="C798" s="67" t="s">
        <v>27</v>
      </c>
      <c r="D798" s="67" t="s">
        <v>24</v>
      </c>
      <c r="E798" s="67" t="s">
        <v>680</v>
      </c>
      <c r="F798" s="67"/>
      <c r="G798" s="96">
        <f>SUM(G799)</f>
        <v>0</v>
      </c>
      <c r="H798" s="99">
        <f>SUM(H799)</f>
        <v>0</v>
      </c>
      <c r="I798" s="99">
        <f t="shared" si="74"/>
        <v>0</v>
      </c>
      <c r="J798" s="99">
        <f>J799</f>
        <v>1300</v>
      </c>
      <c r="K798" s="96">
        <f t="shared" si="75"/>
        <v>1300</v>
      </c>
      <c r="L798" s="106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9.5" customHeight="1">
      <c r="A799" s="124" t="s">
        <v>63</v>
      </c>
      <c r="B799" s="78">
        <v>810</v>
      </c>
      <c r="C799" s="67" t="s">
        <v>27</v>
      </c>
      <c r="D799" s="67" t="s">
        <v>24</v>
      </c>
      <c r="E799" s="67" t="s">
        <v>680</v>
      </c>
      <c r="F799" s="67" t="s">
        <v>660</v>
      </c>
      <c r="G799" s="96"/>
      <c r="H799" s="99"/>
      <c r="I799" s="99">
        <f t="shared" si="74"/>
        <v>0</v>
      </c>
      <c r="J799" s="99">
        <v>1300</v>
      </c>
      <c r="K799" s="96">
        <f t="shared" si="75"/>
        <v>1300</v>
      </c>
      <c r="L799" s="106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9.5" customHeight="1">
      <c r="A800" s="124" t="s">
        <v>367</v>
      </c>
      <c r="B800" s="78">
        <v>810</v>
      </c>
      <c r="C800" s="67" t="s">
        <v>27</v>
      </c>
      <c r="D800" s="67" t="s">
        <v>24</v>
      </c>
      <c r="E800" s="67" t="s">
        <v>471</v>
      </c>
      <c r="F800" s="67"/>
      <c r="G800" s="96">
        <f>SUM(G801)</f>
        <v>0</v>
      </c>
      <c r="H800" s="99">
        <f>SUM(H801)</f>
        <v>0</v>
      </c>
      <c r="I800" s="99">
        <f t="shared" si="74"/>
        <v>0</v>
      </c>
      <c r="J800" s="99">
        <f>J801</f>
        <v>67.6</v>
      </c>
      <c r="K800" s="96">
        <f t="shared" si="75"/>
        <v>67.6</v>
      </c>
      <c r="L800" s="106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51" customHeight="1">
      <c r="A801" s="124" t="s">
        <v>57</v>
      </c>
      <c r="B801" s="78">
        <v>810</v>
      </c>
      <c r="C801" s="67" t="s">
        <v>27</v>
      </c>
      <c r="D801" s="67" t="s">
        <v>24</v>
      </c>
      <c r="E801" s="67" t="s">
        <v>702</v>
      </c>
      <c r="F801" s="67"/>
      <c r="G801" s="96">
        <f>SUM(G802)</f>
        <v>0</v>
      </c>
      <c r="H801" s="99">
        <f>SUM(H802)</f>
        <v>0</v>
      </c>
      <c r="I801" s="99">
        <f t="shared" si="74"/>
        <v>0</v>
      </c>
      <c r="J801" s="99">
        <f>J802</f>
        <v>67.6</v>
      </c>
      <c r="K801" s="96">
        <f t="shared" si="75"/>
        <v>67.6</v>
      </c>
      <c r="L801" s="106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8.75" customHeight="1">
      <c r="A802" s="124" t="s">
        <v>63</v>
      </c>
      <c r="B802" s="78">
        <v>810</v>
      </c>
      <c r="C802" s="67" t="s">
        <v>27</v>
      </c>
      <c r="D802" s="67" t="s">
        <v>24</v>
      </c>
      <c r="E802" s="67" t="s">
        <v>702</v>
      </c>
      <c r="F802" s="67" t="s">
        <v>660</v>
      </c>
      <c r="G802" s="96"/>
      <c r="H802" s="99"/>
      <c r="I802" s="99">
        <f t="shared" si="74"/>
        <v>0</v>
      </c>
      <c r="J802" s="99">
        <v>67.6</v>
      </c>
      <c r="K802" s="96">
        <f t="shared" si="75"/>
        <v>67.6</v>
      </c>
      <c r="L802" s="106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7.25" customHeight="1">
      <c r="A803" s="146" t="s">
        <v>507</v>
      </c>
      <c r="B803" s="78">
        <v>810</v>
      </c>
      <c r="C803" s="67" t="s">
        <v>625</v>
      </c>
      <c r="D803" s="67"/>
      <c r="E803" s="67"/>
      <c r="F803" s="67"/>
      <c r="G803" s="96">
        <f>SUM(G804)</f>
        <v>35865.8</v>
      </c>
      <c r="H803" s="99">
        <f>SUM(H804)</f>
        <v>12839.1</v>
      </c>
      <c r="I803" s="99">
        <f t="shared" si="74"/>
        <v>48704.9</v>
      </c>
      <c r="J803" s="99">
        <f>SUM(J804)</f>
        <v>19598.8</v>
      </c>
      <c r="K803" s="96">
        <f t="shared" si="75"/>
        <v>68303.7</v>
      </c>
      <c r="L803" s="106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8.75" customHeight="1">
      <c r="A804" s="136" t="s">
        <v>307</v>
      </c>
      <c r="B804" s="78">
        <v>810</v>
      </c>
      <c r="C804" s="67" t="s">
        <v>625</v>
      </c>
      <c r="D804" s="67" t="s">
        <v>625</v>
      </c>
      <c r="E804" s="67"/>
      <c r="F804" s="67"/>
      <c r="G804" s="96">
        <f>SUM(G805,G815)</f>
        <v>35865.8</v>
      </c>
      <c r="H804" s="99">
        <f>SUM(H805,H815)</f>
        <v>12839.1</v>
      </c>
      <c r="I804" s="99">
        <f t="shared" si="74"/>
        <v>48704.9</v>
      </c>
      <c r="J804" s="99">
        <f>SUM(J805,J815,J810)</f>
        <v>19598.8</v>
      </c>
      <c r="K804" s="96">
        <f t="shared" si="75"/>
        <v>68303.7</v>
      </c>
      <c r="L804" s="106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21" customHeight="1">
      <c r="A805" s="124" t="s">
        <v>286</v>
      </c>
      <c r="B805" s="78">
        <v>810</v>
      </c>
      <c r="C805" s="67" t="s">
        <v>625</v>
      </c>
      <c r="D805" s="67" t="s">
        <v>625</v>
      </c>
      <c r="E805" s="67" t="s">
        <v>591</v>
      </c>
      <c r="F805" s="67"/>
      <c r="G805" s="96">
        <f>SUM(G806)</f>
        <v>10000</v>
      </c>
      <c r="H805" s="99">
        <f>SUM(H806)</f>
        <v>16805</v>
      </c>
      <c r="I805" s="99">
        <f t="shared" si="74"/>
        <v>26805</v>
      </c>
      <c r="J805" s="99">
        <f>SUM(J806)</f>
        <v>10081.3</v>
      </c>
      <c r="K805" s="96">
        <f t="shared" si="75"/>
        <v>36886.3</v>
      </c>
      <c r="L805" s="106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8.75" customHeight="1">
      <c r="A806" s="146" t="s">
        <v>393</v>
      </c>
      <c r="B806" s="78">
        <v>810</v>
      </c>
      <c r="C806" s="67" t="s">
        <v>625</v>
      </c>
      <c r="D806" s="67" t="s">
        <v>625</v>
      </c>
      <c r="E806" s="67" t="s">
        <v>633</v>
      </c>
      <c r="F806" s="67"/>
      <c r="G806" s="96">
        <f>SUM(G807:G808)</f>
        <v>10000</v>
      </c>
      <c r="H806" s="99">
        <f>SUM(H807:H808)</f>
        <v>16805</v>
      </c>
      <c r="I806" s="99">
        <f t="shared" si="74"/>
        <v>26805</v>
      </c>
      <c r="J806" s="99">
        <f>SUM(J807:J809)</f>
        <v>10081.3</v>
      </c>
      <c r="K806" s="96">
        <f t="shared" si="75"/>
        <v>36886.3</v>
      </c>
      <c r="L806" s="106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7.25" customHeight="1">
      <c r="A807" s="146" t="s">
        <v>392</v>
      </c>
      <c r="B807" s="78">
        <v>810</v>
      </c>
      <c r="C807" s="67" t="s">
        <v>625</v>
      </c>
      <c r="D807" s="67" t="s">
        <v>625</v>
      </c>
      <c r="E807" s="67" t="s">
        <v>633</v>
      </c>
      <c r="F807" s="67" t="s">
        <v>334</v>
      </c>
      <c r="G807" s="96">
        <v>10000</v>
      </c>
      <c r="H807" s="104">
        <v>10000</v>
      </c>
      <c r="I807" s="99">
        <f t="shared" si="74"/>
        <v>20000</v>
      </c>
      <c r="J807" s="104">
        <v>8975</v>
      </c>
      <c r="K807" s="96">
        <f t="shared" si="75"/>
        <v>28975</v>
      </c>
      <c r="L807" s="106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21" customHeight="1">
      <c r="A808" s="126" t="s">
        <v>276</v>
      </c>
      <c r="B808" s="78">
        <v>810</v>
      </c>
      <c r="C808" s="67" t="s">
        <v>625</v>
      </c>
      <c r="D808" s="67" t="s">
        <v>625</v>
      </c>
      <c r="E808" s="67" t="s">
        <v>633</v>
      </c>
      <c r="F808" s="67" t="s">
        <v>275</v>
      </c>
      <c r="G808" s="96"/>
      <c r="H808" s="104">
        <v>6805</v>
      </c>
      <c r="I808" s="99">
        <f t="shared" si="74"/>
        <v>6805</v>
      </c>
      <c r="J808" s="104"/>
      <c r="K808" s="96">
        <f t="shared" si="75"/>
        <v>6805</v>
      </c>
      <c r="L808" s="106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21" customHeight="1">
      <c r="A809" s="136" t="s">
        <v>227</v>
      </c>
      <c r="B809" s="78">
        <v>810</v>
      </c>
      <c r="C809" s="67" t="s">
        <v>625</v>
      </c>
      <c r="D809" s="67" t="s">
        <v>625</v>
      </c>
      <c r="E809" s="67" t="s">
        <v>633</v>
      </c>
      <c r="F809" s="67" t="s">
        <v>652</v>
      </c>
      <c r="G809" s="96"/>
      <c r="H809" s="104"/>
      <c r="I809" s="99"/>
      <c r="J809" s="104">
        <v>1106.3</v>
      </c>
      <c r="K809" s="96">
        <f t="shared" si="75"/>
        <v>1106.3</v>
      </c>
      <c r="L809" s="106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21" customHeight="1" hidden="1">
      <c r="A810" s="132" t="s">
        <v>439</v>
      </c>
      <c r="B810" s="78">
        <v>810</v>
      </c>
      <c r="C810" s="67" t="s">
        <v>625</v>
      </c>
      <c r="D810" s="67" t="s">
        <v>625</v>
      </c>
      <c r="E810" s="67" t="s">
        <v>471</v>
      </c>
      <c r="F810" s="67"/>
      <c r="G810" s="96"/>
      <c r="H810" s="104"/>
      <c r="I810" s="99"/>
      <c r="J810" s="104">
        <f>J811</f>
        <v>0</v>
      </c>
      <c r="K810" s="96">
        <f t="shared" si="75"/>
        <v>0</v>
      </c>
      <c r="L810" s="106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53.25" customHeight="1" hidden="1">
      <c r="A811" s="132" t="s">
        <v>183</v>
      </c>
      <c r="B811" s="78">
        <v>810</v>
      </c>
      <c r="C811" s="67" t="s">
        <v>625</v>
      </c>
      <c r="D811" s="67" t="s">
        <v>625</v>
      </c>
      <c r="E811" s="67" t="s">
        <v>82</v>
      </c>
      <c r="F811" s="67"/>
      <c r="G811" s="96"/>
      <c r="H811" s="104"/>
      <c r="I811" s="99"/>
      <c r="J811" s="104">
        <f>J812</f>
        <v>0</v>
      </c>
      <c r="K811" s="96">
        <f t="shared" si="75"/>
        <v>0</v>
      </c>
      <c r="L811" s="106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21" customHeight="1" hidden="1">
      <c r="A812" s="136" t="s">
        <v>684</v>
      </c>
      <c r="B812" s="78">
        <v>810</v>
      </c>
      <c r="C812" s="67" t="s">
        <v>625</v>
      </c>
      <c r="D812" s="67" t="s">
        <v>625</v>
      </c>
      <c r="E812" s="67" t="s">
        <v>82</v>
      </c>
      <c r="F812" s="67" t="s">
        <v>193</v>
      </c>
      <c r="G812" s="96"/>
      <c r="H812" s="104"/>
      <c r="I812" s="99"/>
      <c r="J812" s="104"/>
      <c r="K812" s="96">
        <f t="shared" si="75"/>
        <v>0</v>
      </c>
      <c r="L812" s="106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12" s="38" customFormat="1" ht="18" customHeight="1">
      <c r="A813" s="136" t="s">
        <v>79</v>
      </c>
      <c r="B813" s="78">
        <v>810</v>
      </c>
      <c r="C813" s="67" t="s">
        <v>625</v>
      </c>
      <c r="D813" s="67" t="s">
        <v>625</v>
      </c>
      <c r="E813" s="67" t="s">
        <v>80</v>
      </c>
      <c r="F813" s="67"/>
      <c r="G813" s="96">
        <f aca="true" t="shared" si="76" ref="G813:J814">G814</f>
        <v>25865.8</v>
      </c>
      <c r="H813" s="99">
        <f t="shared" si="76"/>
        <v>-3965.9</v>
      </c>
      <c r="I813" s="99">
        <f t="shared" si="74"/>
        <v>21899.899999999998</v>
      </c>
      <c r="J813" s="99">
        <f t="shared" si="76"/>
        <v>9517.5</v>
      </c>
      <c r="K813" s="96">
        <f t="shared" si="75"/>
        <v>31417.399999999998</v>
      </c>
      <c r="L813" s="106"/>
    </row>
    <row r="814" spans="1:12" s="38" customFormat="1" ht="126.75" customHeight="1">
      <c r="A814" s="136" t="s">
        <v>759</v>
      </c>
      <c r="B814" s="78">
        <v>810</v>
      </c>
      <c r="C814" s="67" t="s">
        <v>625</v>
      </c>
      <c r="D814" s="67" t="s">
        <v>625</v>
      </c>
      <c r="E814" s="67" t="s">
        <v>78</v>
      </c>
      <c r="F814" s="67"/>
      <c r="G814" s="96">
        <f t="shared" si="76"/>
        <v>25865.8</v>
      </c>
      <c r="H814" s="99">
        <f t="shared" si="76"/>
        <v>-3965.9</v>
      </c>
      <c r="I814" s="99">
        <f t="shared" si="74"/>
        <v>21899.899999999998</v>
      </c>
      <c r="J814" s="99">
        <f t="shared" si="76"/>
        <v>9517.5</v>
      </c>
      <c r="K814" s="96">
        <f t="shared" si="75"/>
        <v>31417.399999999998</v>
      </c>
      <c r="L814" s="106"/>
    </row>
    <row r="815" spans="1:13" s="38" customFormat="1" ht="18" customHeight="1">
      <c r="A815" s="124" t="s">
        <v>453</v>
      </c>
      <c r="B815" s="78">
        <v>810</v>
      </c>
      <c r="C815" s="67" t="s">
        <v>625</v>
      </c>
      <c r="D815" s="67" t="s">
        <v>625</v>
      </c>
      <c r="E815" s="67" t="s">
        <v>78</v>
      </c>
      <c r="F815" s="67" t="s">
        <v>275</v>
      </c>
      <c r="G815" s="96">
        <f>25391.5+474.3</f>
        <v>25865.8</v>
      </c>
      <c r="H815" s="104">
        <f>-226.8-3739.1</f>
        <v>-3965.9</v>
      </c>
      <c r="I815" s="99">
        <f t="shared" si="74"/>
        <v>21899.899999999998</v>
      </c>
      <c r="J815" s="104">
        <f>1142.2+8375.3</f>
        <v>9517.5</v>
      </c>
      <c r="K815" s="96">
        <f t="shared" si="75"/>
        <v>31417.399999999998</v>
      </c>
      <c r="L815" s="106"/>
      <c r="M815" s="106"/>
    </row>
    <row r="816" spans="1:13" s="38" customFormat="1" ht="18" customHeight="1">
      <c r="A816" s="140" t="s">
        <v>848</v>
      </c>
      <c r="B816" s="78">
        <v>810</v>
      </c>
      <c r="C816" s="67" t="s">
        <v>106</v>
      </c>
      <c r="D816" s="67"/>
      <c r="E816" s="67"/>
      <c r="F816" s="67"/>
      <c r="G816" s="96"/>
      <c r="H816" s="104"/>
      <c r="I816" s="99"/>
      <c r="J816" s="104">
        <f>J817</f>
        <v>100.9</v>
      </c>
      <c r="K816" s="96">
        <f t="shared" si="75"/>
        <v>100.9</v>
      </c>
      <c r="L816" s="106"/>
      <c r="M816" s="106"/>
    </row>
    <row r="817" spans="1:13" s="38" customFormat="1" ht="18" customHeight="1">
      <c r="A817" s="140" t="s">
        <v>802</v>
      </c>
      <c r="B817" s="78">
        <v>810</v>
      </c>
      <c r="C817" s="67" t="s">
        <v>106</v>
      </c>
      <c r="D817" s="67" t="s">
        <v>106</v>
      </c>
      <c r="E817" s="67"/>
      <c r="F817" s="67"/>
      <c r="G817" s="96"/>
      <c r="H817" s="104"/>
      <c r="I817" s="99"/>
      <c r="J817" s="104">
        <f>J818</f>
        <v>100.9</v>
      </c>
      <c r="K817" s="96">
        <f t="shared" si="75"/>
        <v>100.9</v>
      </c>
      <c r="L817" s="106"/>
      <c r="M817" s="106"/>
    </row>
    <row r="818" spans="1:13" s="38" customFormat="1" ht="18" customHeight="1">
      <c r="A818" s="140" t="s">
        <v>804</v>
      </c>
      <c r="B818" s="78">
        <v>810</v>
      </c>
      <c r="C818" s="67" t="s">
        <v>106</v>
      </c>
      <c r="D818" s="67" t="s">
        <v>106</v>
      </c>
      <c r="E818" s="67" t="s">
        <v>407</v>
      </c>
      <c r="F818" s="67"/>
      <c r="G818" s="96"/>
      <c r="H818" s="104"/>
      <c r="I818" s="99"/>
      <c r="J818" s="104">
        <f>J819</f>
        <v>100.9</v>
      </c>
      <c r="K818" s="96">
        <f t="shared" si="75"/>
        <v>100.9</v>
      </c>
      <c r="L818" s="106"/>
      <c r="M818" s="106"/>
    </row>
    <row r="819" spans="1:13" s="38" customFormat="1" ht="36" customHeight="1">
      <c r="A819" s="140" t="s">
        <v>178</v>
      </c>
      <c r="B819" s="78">
        <v>810</v>
      </c>
      <c r="C819" s="67" t="s">
        <v>106</v>
      </c>
      <c r="D819" s="67" t="s">
        <v>106</v>
      </c>
      <c r="E819" s="67" t="s">
        <v>543</v>
      </c>
      <c r="F819" s="67"/>
      <c r="G819" s="96"/>
      <c r="H819" s="104"/>
      <c r="I819" s="99"/>
      <c r="J819" s="104">
        <f>J822+J820</f>
        <v>100.9</v>
      </c>
      <c r="K819" s="96">
        <f t="shared" si="75"/>
        <v>100.9</v>
      </c>
      <c r="L819" s="106"/>
      <c r="M819" s="106"/>
    </row>
    <row r="820" spans="1:13" s="38" customFormat="1" ht="36" customHeight="1">
      <c r="A820" s="140" t="s">
        <v>853</v>
      </c>
      <c r="B820" s="78">
        <v>810</v>
      </c>
      <c r="C820" s="67" t="s">
        <v>106</v>
      </c>
      <c r="D820" s="67" t="s">
        <v>106</v>
      </c>
      <c r="E820" s="67" t="s">
        <v>750</v>
      </c>
      <c r="F820" s="67"/>
      <c r="G820" s="96"/>
      <c r="H820" s="104"/>
      <c r="I820" s="99"/>
      <c r="J820" s="104">
        <f>J821</f>
        <v>4</v>
      </c>
      <c r="K820" s="96">
        <f t="shared" si="75"/>
        <v>4</v>
      </c>
      <c r="L820" s="106"/>
      <c r="M820" s="106"/>
    </row>
    <row r="821" spans="1:13" s="38" customFormat="1" ht="21.75" customHeight="1">
      <c r="A821" s="141" t="s">
        <v>530</v>
      </c>
      <c r="B821" s="78">
        <v>810</v>
      </c>
      <c r="C821" s="67" t="s">
        <v>106</v>
      </c>
      <c r="D821" s="67" t="s">
        <v>106</v>
      </c>
      <c r="E821" s="67" t="s">
        <v>750</v>
      </c>
      <c r="F821" s="67" t="s">
        <v>831</v>
      </c>
      <c r="G821" s="96"/>
      <c r="H821" s="104"/>
      <c r="I821" s="99"/>
      <c r="J821" s="104">
        <v>4</v>
      </c>
      <c r="K821" s="96">
        <f t="shared" si="75"/>
        <v>4</v>
      </c>
      <c r="L821" s="106"/>
      <c r="M821" s="106"/>
    </row>
    <row r="822" spans="1:13" s="38" customFormat="1" ht="33.75" customHeight="1">
      <c r="A822" s="140" t="s">
        <v>751</v>
      </c>
      <c r="B822" s="78">
        <v>810</v>
      </c>
      <c r="C822" s="67" t="s">
        <v>106</v>
      </c>
      <c r="D822" s="67" t="s">
        <v>106</v>
      </c>
      <c r="E822" s="67" t="s">
        <v>851</v>
      </c>
      <c r="F822" s="67"/>
      <c r="G822" s="96"/>
      <c r="H822" s="104"/>
      <c r="I822" s="99"/>
      <c r="J822" s="104">
        <f>J823</f>
        <v>96.9</v>
      </c>
      <c r="K822" s="96">
        <f t="shared" si="75"/>
        <v>96.9</v>
      </c>
      <c r="L822" s="106"/>
      <c r="M822" s="106"/>
    </row>
    <row r="823" spans="1:13" s="38" customFormat="1" ht="18" customHeight="1">
      <c r="A823" s="141" t="s">
        <v>530</v>
      </c>
      <c r="B823" s="78">
        <v>810</v>
      </c>
      <c r="C823" s="67" t="s">
        <v>106</v>
      </c>
      <c r="D823" s="67" t="s">
        <v>106</v>
      </c>
      <c r="E823" s="67" t="s">
        <v>851</v>
      </c>
      <c r="F823" s="67" t="s">
        <v>831</v>
      </c>
      <c r="G823" s="96"/>
      <c r="H823" s="104"/>
      <c r="I823" s="99"/>
      <c r="J823" s="104">
        <v>96.9</v>
      </c>
      <c r="K823" s="96">
        <f t="shared" si="75"/>
        <v>96.9</v>
      </c>
      <c r="L823" s="106"/>
      <c r="M823" s="106"/>
    </row>
    <row r="824" spans="1:26" ht="19.5" customHeight="1">
      <c r="A824" s="146" t="s">
        <v>510</v>
      </c>
      <c r="B824" s="78">
        <v>810</v>
      </c>
      <c r="C824" s="67" t="s">
        <v>589</v>
      </c>
      <c r="D824" s="67"/>
      <c r="E824" s="67"/>
      <c r="F824" s="67"/>
      <c r="G824" s="96">
        <f>SUM(G839,G870,G825)</f>
        <v>862620.9</v>
      </c>
      <c r="H824" s="99">
        <f>SUM(H839,H870,H825)</f>
        <v>-1814.3000000000002</v>
      </c>
      <c r="I824" s="99">
        <f t="shared" si="74"/>
        <v>860806.6</v>
      </c>
      <c r="J824" s="99">
        <f>SUM(J839,J870,J825)</f>
        <v>5741.900000000001</v>
      </c>
      <c r="K824" s="96">
        <f t="shared" si="75"/>
        <v>866548.5</v>
      </c>
      <c r="L824" s="106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21" customHeight="1">
      <c r="A825" s="129" t="s">
        <v>254</v>
      </c>
      <c r="B825" s="78">
        <v>810</v>
      </c>
      <c r="C825" s="67" t="s">
        <v>589</v>
      </c>
      <c r="D825" s="67" t="s">
        <v>25</v>
      </c>
      <c r="E825" s="67"/>
      <c r="F825" s="67"/>
      <c r="G825" s="96">
        <f>G831+G836</f>
        <v>87027.4</v>
      </c>
      <c r="H825" s="99">
        <f>H831+H836</f>
        <v>1445.5</v>
      </c>
      <c r="I825" s="99">
        <f t="shared" si="74"/>
        <v>88472.9</v>
      </c>
      <c r="J825" s="99">
        <f>J831+J836+J826</f>
        <v>2550</v>
      </c>
      <c r="K825" s="96">
        <f t="shared" si="75"/>
        <v>91022.9</v>
      </c>
      <c r="L825" s="106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21" customHeight="1">
      <c r="A826" s="124" t="s">
        <v>439</v>
      </c>
      <c r="B826" s="78">
        <v>810</v>
      </c>
      <c r="C826" s="67" t="s">
        <v>589</v>
      </c>
      <c r="D826" s="67" t="s">
        <v>25</v>
      </c>
      <c r="E826" s="67" t="s">
        <v>471</v>
      </c>
      <c r="F826" s="67"/>
      <c r="G826" s="96"/>
      <c r="H826" s="99"/>
      <c r="I826" s="99"/>
      <c r="J826" s="99">
        <f>J829+J827</f>
        <v>3023.9</v>
      </c>
      <c r="K826" s="96">
        <f t="shared" si="75"/>
        <v>3023.9</v>
      </c>
      <c r="L826" s="106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54.75" customHeight="1">
      <c r="A827" s="124" t="s">
        <v>748</v>
      </c>
      <c r="B827" s="78">
        <v>810</v>
      </c>
      <c r="C827" s="67" t="s">
        <v>589</v>
      </c>
      <c r="D827" s="67" t="s">
        <v>25</v>
      </c>
      <c r="E827" s="67" t="s">
        <v>747</v>
      </c>
      <c r="F827" s="67"/>
      <c r="G827" s="96"/>
      <c r="H827" s="99"/>
      <c r="I827" s="99"/>
      <c r="J827" s="99">
        <f>J828</f>
        <v>2550</v>
      </c>
      <c r="K827" s="96">
        <f t="shared" si="75"/>
        <v>2550</v>
      </c>
      <c r="L827" s="106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21" customHeight="1">
      <c r="A828" s="124" t="s">
        <v>63</v>
      </c>
      <c r="B828" s="78">
        <v>810</v>
      </c>
      <c r="C828" s="67" t="s">
        <v>589</v>
      </c>
      <c r="D828" s="67" t="s">
        <v>25</v>
      </c>
      <c r="E828" s="67" t="s">
        <v>747</v>
      </c>
      <c r="F828" s="67" t="s">
        <v>660</v>
      </c>
      <c r="G828" s="96"/>
      <c r="H828" s="99"/>
      <c r="I828" s="99"/>
      <c r="J828" s="99">
        <v>2550</v>
      </c>
      <c r="K828" s="96">
        <f t="shared" si="75"/>
        <v>2550</v>
      </c>
      <c r="L828" s="106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33.75" customHeight="1">
      <c r="A829" s="129" t="s">
        <v>745</v>
      </c>
      <c r="B829" s="78">
        <v>810</v>
      </c>
      <c r="C829" s="67" t="s">
        <v>589</v>
      </c>
      <c r="D829" s="67" t="s">
        <v>25</v>
      </c>
      <c r="E829" s="67" t="s">
        <v>746</v>
      </c>
      <c r="F829" s="67"/>
      <c r="G829" s="96"/>
      <c r="H829" s="99"/>
      <c r="I829" s="99"/>
      <c r="J829" s="99">
        <f>J830</f>
        <v>473.9</v>
      </c>
      <c r="K829" s="96">
        <f t="shared" si="75"/>
        <v>473.9</v>
      </c>
      <c r="L829" s="106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21" customHeight="1">
      <c r="A830" s="124" t="s">
        <v>63</v>
      </c>
      <c r="B830" s="78">
        <v>810</v>
      </c>
      <c r="C830" s="67" t="s">
        <v>589</v>
      </c>
      <c r="D830" s="67" t="s">
        <v>25</v>
      </c>
      <c r="E830" s="67" t="s">
        <v>746</v>
      </c>
      <c r="F830" s="67" t="s">
        <v>660</v>
      </c>
      <c r="G830" s="96"/>
      <c r="H830" s="99"/>
      <c r="I830" s="99"/>
      <c r="J830" s="99">
        <v>473.9</v>
      </c>
      <c r="K830" s="96">
        <f t="shared" si="75"/>
        <v>473.9</v>
      </c>
      <c r="L830" s="106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21" customHeight="1">
      <c r="A831" s="129" t="s">
        <v>354</v>
      </c>
      <c r="B831" s="78">
        <v>810</v>
      </c>
      <c r="C831" s="67" t="s">
        <v>589</v>
      </c>
      <c r="D831" s="67" t="s">
        <v>25</v>
      </c>
      <c r="E831" s="67" t="s">
        <v>245</v>
      </c>
      <c r="F831" s="67"/>
      <c r="G831" s="96">
        <f>G832+G834</f>
        <v>2560</v>
      </c>
      <c r="H831" s="99">
        <f>H832+H834</f>
        <v>0</v>
      </c>
      <c r="I831" s="99">
        <f t="shared" si="74"/>
        <v>2560</v>
      </c>
      <c r="J831" s="99">
        <f>J832+J834</f>
        <v>-473.9</v>
      </c>
      <c r="K831" s="96">
        <f t="shared" si="75"/>
        <v>2086.1</v>
      </c>
      <c r="L831" s="106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54" customHeight="1">
      <c r="A832" s="154" t="s">
        <v>355</v>
      </c>
      <c r="B832" s="78">
        <v>810</v>
      </c>
      <c r="C832" s="67" t="s">
        <v>589</v>
      </c>
      <c r="D832" s="67" t="s">
        <v>25</v>
      </c>
      <c r="E832" s="67" t="s">
        <v>243</v>
      </c>
      <c r="F832" s="67"/>
      <c r="G832" s="96">
        <f>G833</f>
        <v>1500</v>
      </c>
      <c r="H832" s="99">
        <f>H833</f>
        <v>0</v>
      </c>
      <c r="I832" s="99">
        <f t="shared" si="74"/>
        <v>1500</v>
      </c>
      <c r="J832" s="99">
        <f>J833</f>
        <v>-473.9</v>
      </c>
      <c r="K832" s="96">
        <f t="shared" si="75"/>
        <v>1026.1</v>
      </c>
      <c r="L832" s="106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21" customHeight="1">
      <c r="A833" s="124" t="s">
        <v>63</v>
      </c>
      <c r="B833" s="78">
        <v>810</v>
      </c>
      <c r="C833" s="67" t="s">
        <v>589</v>
      </c>
      <c r="D833" s="67" t="s">
        <v>25</v>
      </c>
      <c r="E833" s="67" t="s">
        <v>243</v>
      </c>
      <c r="F833" s="67" t="s">
        <v>660</v>
      </c>
      <c r="G833" s="96">
        <v>1500</v>
      </c>
      <c r="H833" s="104"/>
      <c r="I833" s="99">
        <f t="shared" si="74"/>
        <v>1500</v>
      </c>
      <c r="J833" s="104">
        <v>-473.9</v>
      </c>
      <c r="K833" s="96">
        <f t="shared" si="75"/>
        <v>1026.1</v>
      </c>
      <c r="L833" s="106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87" customHeight="1">
      <c r="A834" s="124" t="s">
        <v>357</v>
      </c>
      <c r="B834" s="78">
        <v>810</v>
      </c>
      <c r="C834" s="67" t="s">
        <v>589</v>
      </c>
      <c r="D834" s="67" t="s">
        <v>25</v>
      </c>
      <c r="E834" s="67" t="s">
        <v>356</v>
      </c>
      <c r="F834" s="67"/>
      <c r="G834" s="96">
        <f>SUM(G835)</f>
        <v>1060</v>
      </c>
      <c r="H834" s="99">
        <f>SUM(H835)</f>
        <v>0</v>
      </c>
      <c r="I834" s="99">
        <f t="shared" si="74"/>
        <v>1060</v>
      </c>
      <c r="J834" s="99">
        <f>SUM(J835)</f>
        <v>0</v>
      </c>
      <c r="K834" s="96">
        <f t="shared" si="75"/>
        <v>1060</v>
      </c>
      <c r="L834" s="106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21" customHeight="1">
      <c r="A835" s="124" t="s">
        <v>63</v>
      </c>
      <c r="B835" s="78">
        <v>810</v>
      </c>
      <c r="C835" s="67" t="s">
        <v>589</v>
      </c>
      <c r="D835" s="67" t="s">
        <v>25</v>
      </c>
      <c r="E835" s="67" t="s">
        <v>356</v>
      </c>
      <c r="F835" s="67" t="s">
        <v>660</v>
      </c>
      <c r="G835" s="96">
        <v>1060</v>
      </c>
      <c r="H835" s="104"/>
      <c r="I835" s="99">
        <f t="shared" si="74"/>
        <v>1060</v>
      </c>
      <c r="J835" s="104"/>
      <c r="K835" s="96">
        <f t="shared" si="75"/>
        <v>1060</v>
      </c>
      <c r="L835" s="106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21" customHeight="1">
      <c r="A836" s="136" t="s">
        <v>79</v>
      </c>
      <c r="B836" s="78">
        <v>810</v>
      </c>
      <c r="C836" s="67" t="s">
        <v>589</v>
      </c>
      <c r="D836" s="67" t="s">
        <v>25</v>
      </c>
      <c r="E836" s="67" t="s">
        <v>80</v>
      </c>
      <c r="F836" s="67"/>
      <c r="G836" s="96">
        <f aca="true" t="shared" si="77" ref="G836:J837">G837</f>
        <v>84467.4</v>
      </c>
      <c r="H836" s="99">
        <f t="shared" si="77"/>
        <v>1445.5</v>
      </c>
      <c r="I836" s="99">
        <f t="shared" si="74"/>
        <v>85912.9</v>
      </c>
      <c r="J836" s="99">
        <f t="shared" si="77"/>
        <v>0</v>
      </c>
      <c r="K836" s="96">
        <f t="shared" si="75"/>
        <v>85912.9</v>
      </c>
      <c r="L836" s="106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19.25" customHeight="1">
      <c r="A837" s="136" t="s">
        <v>352</v>
      </c>
      <c r="B837" s="78">
        <v>810</v>
      </c>
      <c r="C837" s="67" t="s">
        <v>589</v>
      </c>
      <c r="D837" s="67" t="s">
        <v>25</v>
      </c>
      <c r="E837" s="67" t="s">
        <v>78</v>
      </c>
      <c r="F837" s="67"/>
      <c r="G837" s="96">
        <f t="shared" si="77"/>
        <v>84467.4</v>
      </c>
      <c r="H837" s="99">
        <f t="shared" si="77"/>
        <v>1445.5</v>
      </c>
      <c r="I837" s="99">
        <f t="shared" si="74"/>
        <v>85912.9</v>
      </c>
      <c r="J837" s="99">
        <f t="shared" si="77"/>
        <v>0</v>
      </c>
      <c r="K837" s="96">
        <f t="shared" si="75"/>
        <v>85912.9</v>
      </c>
      <c r="L837" s="106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8.75" customHeight="1">
      <c r="A838" s="124" t="s">
        <v>63</v>
      </c>
      <c r="B838" s="78">
        <v>810</v>
      </c>
      <c r="C838" s="67" t="s">
        <v>589</v>
      </c>
      <c r="D838" s="67" t="s">
        <v>25</v>
      </c>
      <c r="E838" s="67" t="s">
        <v>78</v>
      </c>
      <c r="F838" s="67" t="s">
        <v>660</v>
      </c>
      <c r="G838" s="96">
        <v>84467.4</v>
      </c>
      <c r="H838" s="104">
        <v>1445.5</v>
      </c>
      <c r="I838" s="99">
        <f t="shared" si="74"/>
        <v>85912.9</v>
      </c>
      <c r="J838" s="104"/>
      <c r="K838" s="96">
        <f t="shared" si="75"/>
        <v>85912.9</v>
      </c>
      <c r="L838" s="106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20.25" customHeight="1">
      <c r="A839" s="146" t="s">
        <v>463</v>
      </c>
      <c r="B839" s="78">
        <v>810</v>
      </c>
      <c r="C839" s="67" t="s">
        <v>589</v>
      </c>
      <c r="D839" s="67" t="s">
        <v>26</v>
      </c>
      <c r="E839" s="67"/>
      <c r="F839" s="67"/>
      <c r="G839" s="96">
        <f>SUM(G840,G848,G862)</f>
        <v>717079.7</v>
      </c>
      <c r="H839" s="99">
        <f>SUM(H840,H848,H862)</f>
        <v>500</v>
      </c>
      <c r="I839" s="99">
        <f t="shared" si="74"/>
        <v>717579.7</v>
      </c>
      <c r="J839" s="99">
        <f>SUM(J840,J848,J862,J859)</f>
        <v>2141</v>
      </c>
      <c r="K839" s="96">
        <f t="shared" si="75"/>
        <v>719720.7</v>
      </c>
      <c r="L839" s="106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8" customHeight="1">
      <c r="A840" s="146" t="s">
        <v>145</v>
      </c>
      <c r="B840" s="78">
        <v>810</v>
      </c>
      <c r="C840" s="67" t="s">
        <v>589</v>
      </c>
      <c r="D840" s="67" t="s">
        <v>26</v>
      </c>
      <c r="E840" s="67" t="s">
        <v>468</v>
      </c>
      <c r="F840" s="67"/>
      <c r="G840" s="96">
        <f>SUM(G841,G843,G845)</f>
        <v>198900</v>
      </c>
      <c r="H840" s="99">
        <f>SUM(H841,H843,H845)</f>
        <v>0</v>
      </c>
      <c r="I840" s="99">
        <f t="shared" si="74"/>
        <v>198900</v>
      </c>
      <c r="J840" s="99">
        <f>SUM(J841,J843,J845)</f>
        <v>465.2</v>
      </c>
      <c r="K840" s="96">
        <f t="shared" si="75"/>
        <v>199365.2</v>
      </c>
      <c r="L840" s="106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34.5" customHeight="1">
      <c r="A841" s="127" t="s">
        <v>172</v>
      </c>
      <c r="B841" s="78">
        <v>810</v>
      </c>
      <c r="C841" s="67" t="s">
        <v>589</v>
      </c>
      <c r="D841" s="67" t="s">
        <v>26</v>
      </c>
      <c r="E841" s="67" t="s">
        <v>283</v>
      </c>
      <c r="F841" s="67"/>
      <c r="G841" s="96">
        <f>G842</f>
        <v>151476.5</v>
      </c>
      <c r="H841" s="99">
        <f>H842</f>
        <v>0</v>
      </c>
      <c r="I841" s="99">
        <f t="shared" si="74"/>
        <v>151476.5</v>
      </c>
      <c r="J841" s="99">
        <f>J842</f>
        <v>465.2</v>
      </c>
      <c r="K841" s="96">
        <f t="shared" si="75"/>
        <v>151941.7</v>
      </c>
      <c r="L841" s="106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8.75" customHeight="1">
      <c r="A842" s="135" t="s">
        <v>635</v>
      </c>
      <c r="B842" s="78">
        <v>810</v>
      </c>
      <c r="C842" s="67" t="s">
        <v>589</v>
      </c>
      <c r="D842" s="67" t="s">
        <v>26</v>
      </c>
      <c r="E842" s="67" t="s">
        <v>146</v>
      </c>
      <c r="F842" s="67" t="s">
        <v>117</v>
      </c>
      <c r="G842" s="96">
        <f>152963.5-1487</f>
        <v>151476.5</v>
      </c>
      <c r="H842" s="104"/>
      <c r="I842" s="99">
        <f t="shared" si="74"/>
        <v>151476.5</v>
      </c>
      <c r="J842" s="104">
        <v>465.2</v>
      </c>
      <c r="K842" s="96">
        <f t="shared" si="75"/>
        <v>151941.7</v>
      </c>
      <c r="L842" s="106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32.25" customHeight="1">
      <c r="A843" s="135" t="s">
        <v>710</v>
      </c>
      <c r="B843" s="78">
        <v>810</v>
      </c>
      <c r="C843" s="67" t="s">
        <v>589</v>
      </c>
      <c r="D843" s="67" t="s">
        <v>26</v>
      </c>
      <c r="E843" s="67" t="s">
        <v>364</v>
      </c>
      <c r="F843" s="67"/>
      <c r="G843" s="96">
        <f>SUM(G844)</f>
        <v>44747.200000000004</v>
      </c>
      <c r="H843" s="99">
        <f>SUM(H844)</f>
        <v>0</v>
      </c>
      <c r="I843" s="99">
        <f t="shared" si="74"/>
        <v>44747.200000000004</v>
      </c>
      <c r="J843" s="99">
        <f>SUM(J844)</f>
        <v>0</v>
      </c>
      <c r="K843" s="96">
        <f t="shared" si="75"/>
        <v>44747.200000000004</v>
      </c>
      <c r="L843" s="106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47" customFormat="1" ht="19.5" customHeight="1">
      <c r="A844" s="135" t="s">
        <v>635</v>
      </c>
      <c r="B844" s="78">
        <v>810</v>
      </c>
      <c r="C844" s="67" t="s">
        <v>589</v>
      </c>
      <c r="D844" s="67" t="s">
        <v>26</v>
      </c>
      <c r="E844" s="67" t="s">
        <v>364</v>
      </c>
      <c r="F844" s="67" t="s">
        <v>117</v>
      </c>
      <c r="G844" s="96">
        <f>54563.5-9288.2-528.1</f>
        <v>44747.200000000004</v>
      </c>
      <c r="H844" s="104"/>
      <c r="I844" s="99">
        <f t="shared" si="74"/>
        <v>44747.200000000004</v>
      </c>
      <c r="J844" s="104"/>
      <c r="K844" s="96">
        <f t="shared" si="75"/>
        <v>44747.200000000004</v>
      </c>
      <c r="L844" s="106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12" s="38" customFormat="1" ht="19.5" customHeight="1">
      <c r="A845" s="135" t="s">
        <v>359</v>
      </c>
      <c r="B845" s="78">
        <v>810</v>
      </c>
      <c r="C845" s="67" t="s">
        <v>589</v>
      </c>
      <c r="D845" s="67" t="s">
        <v>26</v>
      </c>
      <c r="E845" s="67" t="s">
        <v>360</v>
      </c>
      <c r="F845" s="67"/>
      <c r="G845" s="96">
        <f aca="true" t="shared" si="78" ref="G845:J846">G846</f>
        <v>2676.3</v>
      </c>
      <c r="H845" s="99">
        <f t="shared" si="78"/>
        <v>0</v>
      </c>
      <c r="I845" s="99">
        <f t="shared" si="74"/>
        <v>2676.3</v>
      </c>
      <c r="J845" s="99">
        <f t="shared" si="78"/>
        <v>0</v>
      </c>
      <c r="K845" s="96">
        <f t="shared" si="75"/>
        <v>2676.3</v>
      </c>
      <c r="L845" s="106"/>
    </row>
    <row r="846" spans="1:12" s="38" customFormat="1" ht="39" customHeight="1">
      <c r="A846" s="135" t="s">
        <v>124</v>
      </c>
      <c r="B846" s="78">
        <v>810</v>
      </c>
      <c r="C846" s="67" t="s">
        <v>589</v>
      </c>
      <c r="D846" s="67" t="s">
        <v>26</v>
      </c>
      <c r="E846" s="67" t="s">
        <v>358</v>
      </c>
      <c r="F846" s="67"/>
      <c r="G846" s="96">
        <f t="shared" si="78"/>
        <v>2676.3</v>
      </c>
      <c r="H846" s="99">
        <f t="shared" si="78"/>
        <v>0</v>
      </c>
      <c r="I846" s="99">
        <f t="shared" si="74"/>
        <v>2676.3</v>
      </c>
      <c r="J846" s="99">
        <f t="shared" si="78"/>
        <v>0</v>
      </c>
      <c r="K846" s="96">
        <f t="shared" si="75"/>
        <v>2676.3</v>
      </c>
      <c r="L846" s="106"/>
    </row>
    <row r="847" spans="1:12" s="38" customFormat="1" ht="19.5" customHeight="1">
      <c r="A847" s="135" t="s">
        <v>635</v>
      </c>
      <c r="B847" s="78">
        <v>810</v>
      </c>
      <c r="C847" s="67" t="s">
        <v>589</v>
      </c>
      <c r="D847" s="67" t="s">
        <v>26</v>
      </c>
      <c r="E847" s="67" t="s">
        <v>358</v>
      </c>
      <c r="F847" s="67" t="s">
        <v>117</v>
      </c>
      <c r="G847" s="96">
        <v>2676.3</v>
      </c>
      <c r="H847" s="104"/>
      <c r="I847" s="99">
        <f t="shared" si="74"/>
        <v>2676.3</v>
      </c>
      <c r="J847" s="104"/>
      <c r="K847" s="96">
        <f t="shared" si="75"/>
        <v>2676.3</v>
      </c>
      <c r="L847" s="106"/>
    </row>
    <row r="848" spans="1:26" ht="19.5" customHeight="1">
      <c r="A848" s="135" t="s">
        <v>206</v>
      </c>
      <c r="B848" s="78">
        <v>810</v>
      </c>
      <c r="C848" s="67" t="s">
        <v>589</v>
      </c>
      <c r="D848" s="67" t="s">
        <v>26</v>
      </c>
      <c r="E848" s="67" t="s">
        <v>535</v>
      </c>
      <c r="F848" s="67"/>
      <c r="G848" s="96">
        <f>G849+G852</f>
        <v>7394.8</v>
      </c>
      <c r="H848" s="99">
        <f>H849+H852</f>
        <v>500</v>
      </c>
      <c r="I848" s="99">
        <f t="shared" si="74"/>
        <v>7894.8</v>
      </c>
      <c r="J848" s="99">
        <f>J849+J852</f>
        <v>0</v>
      </c>
      <c r="K848" s="96">
        <f t="shared" si="75"/>
        <v>7894.8</v>
      </c>
      <c r="L848" s="106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9.5" customHeight="1">
      <c r="A849" s="146" t="s">
        <v>259</v>
      </c>
      <c r="B849" s="78">
        <v>810</v>
      </c>
      <c r="C849" s="67" t="s">
        <v>589</v>
      </c>
      <c r="D849" s="67" t="s">
        <v>26</v>
      </c>
      <c r="E849" s="67" t="s">
        <v>536</v>
      </c>
      <c r="F849" s="67"/>
      <c r="G849" s="96">
        <f>G850</f>
        <v>6456</v>
      </c>
      <c r="H849" s="99">
        <f>H850</f>
        <v>0</v>
      </c>
      <c r="I849" s="99">
        <f t="shared" si="74"/>
        <v>6456</v>
      </c>
      <c r="J849" s="99">
        <f>J850</f>
        <v>0</v>
      </c>
      <c r="K849" s="96">
        <f t="shared" si="75"/>
        <v>6456</v>
      </c>
      <c r="L849" s="106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7.25" customHeight="1">
      <c r="A850" s="146" t="s">
        <v>30</v>
      </c>
      <c r="B850" s="78">
        <v>810</v>
      </c>
      <c r="C850" s="67" t="s">
        <v>589</v>
      </c>
      <c r="D850" s="67" t="s">
        <v>26</v>
      </c>
      <c r="E850" s="67" t="s">
        <v>29</v>
      </c>
      <c r="F850" s="67"/>
      <c r="G850" s="96">
        <f>SUM(G851:G851)</f>
        <v>6456</v>
      </c>
      <c r="H850" s="99">
        <f>SUM(H851:H851)</f>
        <v>0</v>
      </c>
      <c r="I850" s="99">
        <f t="shared" si="74"/>
        <v>6456</v>
      </c>
      <c r="J850" s="99">
        <f>SUM(J851:J851)</f>
        <v>0</v>
      </c>
      <c r="K850" s="96">
        <f aca="true" t="shared" si="79" ref="K850:K913">I850+J850</f>
        <v>6456</v>
      </c>
      <c r="L850" s="106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9.5" customHeight="1">
      <c r="A851" s="135" t="s">
        <v>284</v>
      </c>
      <c r="B851" s="78">
        <v>810</v>
      </c>
      <c r="C851" s="67" t="s">
        <v>589</v>
      </c>
      <c r="D851" s="67" t="s">
        <v>26</v>
      </c>
      <c r="E851" s="67" t="s">
        <v>29</v>
      </c>
      <c r="F851" s="67" t="s">
        <v>104</v>
      </c>
      <c r="G851" s="96">
        <v>6456</v>
      </c>
      <c r="H851" s="104"/>
      <c r="I851" s="99">
        <f t="shared" si="74"/>
        <v>6456</v>
      </c>
      <c r="J851" s="104"/>
      <c r="K851" s="96">
        <f t="shared" si="79"/>
        <v>6456</v>
      </c>
      <c r="L851" s="106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9.5" customHeight="1">
      <c r="A852" s="135" t="s">
        <v>53</v>
      </c>
      <c r="B852" s="78">
        <v>810</v>
      </c>
      <c r="C852" s="67" t="s">
        <v>589</v>
      </c>
      <c r="D852" s="67" t="s">
        <v>26</v>
      </c>
      <c r="E852" s="67" t="s">
        <v>50</v>
      </c>
      <c r="F852" s="67"/>
      <c r="G852" s="96">
        <f>G855+G853</f>
        <v>938.8</v>
      </c>
      <c r="H852" s="99">
        <f>H855+H853+H857</f>
        <v>500</v>
      </c>
      <c r="I852" s="99">
        <f t="shared" si="74"/>
        <v>1438.8</v>
      </c>
      <c r="J852" s="99">
        <f>J855+J853+J857</f>
        <v>0</v>
      </c>
      <c r="K852" s="96">
        <f t="shared" si="79"/>
        <v>1438.8</v>
      </c>
      <c r="L852" s="106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36.75" customHeight="1">
      <c r="A853" s="135" t="s">
        <v>54</v>
      </c>
      <c r="B853" s="78">
        <v>810</v>
      </c>
      <c r="C853" s="67" t="s">
        <v>589</v>
      </c>
      <c r="D853" s="67" t="s">
        <v>26</v>
      </c>
      <c r="E853" s="67" t="s">
        <v>51</v>
      </c>
      <c r="F853" s="67"/>
      <c r="G853" s="96">
        <f>SUM(G854)</f>
        <v>576.8</v>
      </c>
      <c r="H853" s="99">
        <f>SUM(H854)</f>
        <v>0</v>
      </c>
      <c r="I853" s="99">
        <f t="shared" si="74"/>
        <v>576.8</v>
      </c>
      <c r="J853" s="99">
        <f>SUM(J854)</f>
        <v>0</v>
      </c>
      <c r="K853" s="96">
        <f t="shared" si="79"/>
        <v>576.8</v>
      </c>
      <c r="L853" s="106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8" customHeight="1">
      <c r="A854" s="135" t="s">
        <v>635</v>
      </c>
      <c r="B854" s="78">
        <v>810</v>
      </c>
      <c r="C854" s="67" t="s">
        <v>589</v>
      </c>
      <c r="D854" s="67" t="s">
        <v>26</v>
      </c>
      <c r="E854" s="67" t="s">
        <v>51</v>
      </c>
      <c r="F854" s="67" t="s">
        <v>117</v>
      </c>
      <c r="G854" s="96">
        <v>576.8</v>
      </c>
      <c r="H854" s="104"/>
      <c r="I854" s="99">
        <f t="shared" si="74"/>
        <v>576.8</v>
      </c>
      <c r="J854" s="104"/>
      <c r="K854" s="96">
        <f t="shared" si="79"/>
        <v>576.8</v>
      </c>
      <c r="L854" s="106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36" customHeight="1">
      <c r="A855" s="135" t="s">
        <v>55</v>
      </c>
      <c r="B855" s="78">
        <v>810</v>
      </c>
      <c r="C855" s="67" t="s">
        <v>589</v>
      </c>
      <c r="D855" s="67" t="s">
        <v>26</v>
      </c>
      <c r="E855" s="67" t="s">
        <v>52</v>
      </c>
      <c r="F855" s="67"/>
      <c r="G855" s="96">
        <f>SUM(G856)</f>
        <v>362</v>
      </c>
      <c r="H855" s="99">
        <f>SUM(H856)</f>
        <v>0</v>
      </c>
      <c r="I855" s="99">
        <f t="shared" si="74"/>
        <v>362</v>
      </c>
      <c r="J855" s="99">
        <f>SUM(J856)</f>
        <v>0</v>
      </c>
      <c r="K855" s="96">
        <f t="shared" si="79"/>
        <v>362</v>
      </c>
      <c r="L855" s="106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8" customHeight="1">
      <c r="A856" s="135" t="s">
        <v>635</v>
      </c>
      <c r="B856" s="78">
        <v>810</v>
      </c>
      <c r="C856" s="67" t="s">
        <v>589</v>
      </c>
      <c r="D856" s="67" t="s">
        <v>26</v>
      </c>
      <c r="E856" s="67" t="s">
        <v>52</v>
      </c>
      <c r="F856" s="67" t="s">
        <v>117</v>
      </c>
      <c r="G856" s="96">
        <v>362</v>
      </c>
      <c r="H856" s="104"/>
      <c r="I856" s="99">
        <f t="shared" si="74"/>
        <v>362</v>
      </c>
      <c r="J856" s="104"/>
      <c r="K856" s="96">
        <f t="shared" si="79"/>
        <v>362</v>
      </c>
      <c r="L856" s="106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34.5" customHeight="1">
      <c r="A857" s="135" t="s">
        <v>377</v>
      </c>
      <c r="B857" s="78">
        <v>810</v>
      </c>
      <c r="C857" s="67" t="s">
        <v>589</v>
      </c>
      <c r="D857" s="67" t="s">
        <v>26</v>
      </c>
      <c r="E857" s="67" t="s">
        <v>479</v>
      </c>
      <c r="F857" s="67"/>
      <c r="G857" s="96"/>
      <c r="H857" s="104">
        <f>H858</f>
        <v>500</v>
      </c>
      <c r="I857" s="99">
        <f t="shared" si="74"/>
        <v>500</v>
      </c>
      <c r="J857" s="104">
        <f>J858</f>
        <v>0</v>
      </c>
      <c r="K857" s="96">
        <f t="shared" si="79"/>
        <v>500</v>
      </c>
      <c r="L857" s="106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9.5" customHeight="1">
      <c r="A858" s="135" t="s">
        <v>635</v>
      </c>
      <c r="B858" s="78">
        <v>810</v>
      </c>
      <c r="C858" s="67" t="s">
        <v>589</v>
      </c>
      <c r="D858" s="67" t="s">
        <v>26</v>
      </c>
      <c r="E858" s="67" t="s">
        <v>479</v>
      </c>
      <c r="F858" s="67" t="s">
        <v>117</v>
      </c>
      <c r="G858" s="96"/>
      <c r="H858" s="104">
        <v>500</v>
      </c>
      <c r="I858" s="99">
        <f t="shared" si="74"/>
        <v>500</v>
      </c>
      <c r="J858" s="104"/>
      <c r="K858" s="96">
        <f t="shared" si="79"/>
        <v>500</v>
      </c>
      <c r="L858" s="106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9.5" customHeight="1">
      <c r="A859" s="124" t="s">
        <v>439</v>
      </c>
      <c r="B859" s="78">
        <v>810</v>
      </c>
      <c r="C859" s="67" t="s">
        <v>589</v>
      </c>
      <c r="D859" s="67" t="s">
        <v>26</v>
      </c>
      <c r="E859" s="67" t="s">
        <v>471</v>
      </c>
      <c r="F859" s="67"/>
      <c r="G859" s="96"/>
      <c r="H859" s="104"/>
      <c r="I859" s="99"/>
      <c r="J859" s="104">
        <f>J860</f>
        <v>1675.8</v>
      </c>
      <c r="K859" s="96">
        <f t="shared" si="79"/>
        <v>1675.8</v>
      </c>
      <c r="L859" s="106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39" customHeight="1">
      <c r="A860" s="129" t="s">
        <v>745</v>
      </c>
      <c r="B860" s="78">
        <v>810</v>
      </c>
      <c r="C860" s="67" t="s">
        <v>589</v>
      </c>
      <c r="D860" s="67" t="s">
        <v>26</v>
      </c>
      <c r="E860" s="67" t="s">
        <v>746</v>
      </c>
      <c r="F860" s="67"/>
      <c r="G860" s="96"/>
      <c r="H860" s="104"/>
      <c r="I860" s="99"/>
      <c r="J860" s="104">
        <f>J861</f>
        <v>1675.8</v>
      </c>
      <c r="K860" s="96">
        <f t="shared" si="79"/>
        <v>1675.8</v>
      </c>
      <c r="L860" s="106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9.5" customHeight="1">
      <c r="A861" s="135" t="s">
        <v>635</v>
      </c>
      <c r="B861" s="78">
        <v>810</v>
      </c>
      <c r="C861" s="67" t="s">
        <v>589</v>
      </c>
      <c r="D861" s="67" t="s">
        <v>26</v>
      </c>
      <c r="E861" s="67" t="s">
        <v>746</v>
      </c>
      <c r="F861" s="67" t="s">
        <v>117</v>
      </c>
      <c r="G861" s="96"/>
      <c r="H861" s="104"/>
      <c r="I861" s="99"/>
      <c r="J861" s="104">
        <v>1675.8</v>
      </c>
      <c r="K861" s="96">
        <f t="shared" si="79"/>
        <v>1675.8</v>
      </c>
      <c r="L861" s="106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8" customHeight="1">
      <c r="A862" s="136" t="s">
        <v>79</v>
      </c>
      <c r="B862" s="78">
        <v>810</v>
      </c>
      <c r="C862" s="67" t="s">
        <v>589</v>
      </c>
      <c r="D862" s="67" t="s">
        <v>26</v>
      </c>
      <c r="E862" s="67" t="s">
        <v>80</v>
      </c>
      <c r="F862" s="67"/>
      <c r="G862" s="96">
        <f>G866+G868+G863</f>
        <v>510784.9</v>
      </c>
      <c r="H862" s="99">
        <f>H866+H868+H863</f>
        <v>0</v>
      </c>
      <c r="I862" s="99">
        <f t="shared" si="74"/>
        <v>510784.9</v>
      </c>
      <c r="J862" s="99">
        <f>J866+J868+J863</f>
        <v>0</v>
      </c>
      <c r="K862" s="96">
        <f t="shared" si="79"/>
        <v>510784.9</v>
      </c>
      <c r="L862" s="106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31.5" customHeight="1">
      <c r="A863" s="124" t="s">
        <v>86</v>
      </c>
      <c r="B863" s="78">
        <v>810</v>
      </c>
      <c r="C863" s="67" t="s">
        <v>589</v>
      </c>
      <c r="D863" s="67" t="s">
        <v>26</v>
      </c>
      <c r="E863" s="67" t="s">
        <v>83</v>
      </c>
      <c r="F863" s="67"/>
      <c r="G863" s="96">
        <f aca="true" t="shared" si="80" ref="G863:J864">G864</f>
        <v>730.8</v>
      </c>
      <c r="H863" s="99">
        <f t="shared" si="80"/>
        <v>0</v>
      </c>
      <c r="I863" s="99">
        <f t="shared" si="74"/>
        <v>730.8</v>
      </c>
      <c r="J863" s="99">
        <f t="shared" si="80"/>
        <v>0</v>
      </c>
      <c r="K863" s="96">
        <f t="shared" si="79"/>
        <v>730.8</v>
      </c>
      <c r="L863" s="106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18.5" customHeight="1">
      <c r="A864" s="123" t="s">
        <v>772</v>
      </c>
      <c r="B864" s="78">
        <v>810</v>
      </c>
      <c r="C864" s="67" t="s">
        <v>589</v>
      </c>
      <c r="D864" s="67" t="s">
        <v>26</v>
      </c>
      <c r="E864" s="67" t="s">
        <v>87</v>
      </c>
      <c r="F864" s="67"/>
      <c r="G864" s="96">
        <f t="shared" si="80"/>
        <v>730.8</v>
      </c>
      <c r="H864" s="99">
        <f t="shared" si="80"/>
        <v>0</v>
      </c>
      <c r="I864" s="99">
        <f t="shared" si="74"/>
        <v>730.8</v>
      </c>
      <c r="J864" s="99">
        <f t="shared" si="80"/>
        <v>0</v>
      </c>
      <c r="K864" s="96">
        <f t="shared" si="79"/>
        <v>730.8</v>
      </c>
      <c r="L864" s="106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8" customHeight="1">
      <c r="A865" s="136" t="s">
        <v>656</v>
      </c>
      <c r="B865" s="78">
        <v>810</v>
      </c>
      <c r="C865" s="67" t="s">
        <v>589</v>
      </c>
      <c r="D865" s="67" t="s">
        <v>26</v>
      </c>
      <c r="E865" s="67" t="s">
        <v>87</v>
      </c>
      <c r="F865" s="67" t="s">
        <v>117</v>
      </c>
      <c r="G865" s="96">
        <v>730.8</v>
      </c>
      <c r="H865" s="104"/>
      <c r="I865" s="99">
        <f t="shared" si="74"/>
        <v>730.8</v>
      </c>
      <c r="J865" s="104"/>
      <c r="K865" s="96">
        <f t="shared" si="79"/>
        <v>730.8</v>
      </c>
      <c r="L865" s="106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17" customHeight="1">
      <c r="A866" s="136" t="s">
        <v>156</v>
      </c>
      <c r="B866" s="78">
        <v>810</v>
      </c>
      <c r="C866" s="67" t="s">
        <v>589</v>
      </c>
      <c r="D866" s="67" t="s">
        <v>26</v>
      </c>
      <c r="E866" s="67" t="s">
        <v>78</v>
      </c>
      <c r="F866" s="67"/>
      <c r="G866" s="96">
        <f>G867</f>
        <v>367154.10000000003</v>
      </c>
      <c r="H866" s="99">
        <f>H867</f>
        <v>0</v>
      </c>
      <c r="I866" s="99">
        <f t="shared" si="74"/>
        <v>367154.10000000003</v>
      </c>
      <c r="J866" s="99">
        <f>J867</f>
        <v>0</v>
      </c>
      <c r="K866" s="96">
        <f t="shared" si="79"/>
        <v>367154.10000000003</v>
      </c>
      <c r="L866" s="106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8" customHeight="1">
      <c r="A867" s="136" t="s">
        <v>656</v>
      </c>
      <c r="B867" s="78">
        <v>810</v>
      </c>
      <c r="C867" s="67" t="s">
        <v>589</v>
      </c>
      <c r="D867" s="67" t="s">
        <v>26</v>
      </c>
      <c r="E867" s="67" t="s">
        <v>78</v>
      </c>
      <c r="F867" s="67" t="s">
        <v>117</v>
      </c>
      <c r="G867" s="96">
        <f>502950.8-84467.4-474.3-25391.5-1500-1060-2676.3-2180-6792.8-11254.4</f>
        <v>367154.10000000003</v>
      </c>
      <c r="H867" s="104"/>
      <c r="I867" s="99">
        <f t="shared" si="74"/>
        <v>367154.10000000003</v>
      </c>
      <c r="J867" s="104"/>
      <c r="K867" s="96">
        <f t="shared" si="79"/>
        <v>367154.10000000003</v>
      </c>
      <c r="L867" s="106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55.25" customHeight="1">
      <c r="A868" s="136" t="s">
        <v>758</v>
      </c>
      <c r="B868" s="78">
        <v>810</v>
      </c>
      <c r="C868" s="67" t="s">
        <v>589</v>
      </c>
      <c r="D868" s="67" t="s">
        <v>26</v>
      </c>
      <c r="E868" s="67" t="s">
        <v>81</v>
      </c>
      <c r="F868" s="67"/>
      <c r="G868" s="96">
        <f>G869</f>
        <v>142900</v>
      </c>
      <c r="H868" s="99">
        <f>H869</f>
        <v>0</v>
      </c>
      <c r="I868" s="99">
        <f t="shared" si="74"/>
        <v>142900</v>
      </c>
      <c r="J868" s="99">
        <f>J869</f>
        <v>0</v>
      </c>
      <c r="K868" s="96">
        <f t="shared" si="79"/>
        <v>142900</v>
      </c>
      <c r="L868" s="106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8" customHeight="1">
      <c r="A869" s="136" t="s">
        <v>656</v>
      </c>
      <c r="B869" s="78">
        <v>810</v>
      </c>
      <c r="C869" s="67" t="s">
        <v>589</v>
      </c>
      <c r="D869" s="67" t="s">
        <v>26</v>
      </c>
      <c r="E869" s="67" t="s">
        <v>81</v>
      </c>
      <c r="F869" s="67" t="s">
        <v>117</v>
      </c>
      <c r="G869" s="96">
        <v>142900</v>
      </c>
      <c r="H869" s="104"/>
      <c r="I869" s="99">
        <f aca="true" t="shared" si="81" ref="I869:I934">H869+G869</f>
        <v>142900</v>
      </c>
      <c r="J869" s="104"/>
      <c r="K869" s="96">
        <f t="shared" si="79"/>
        <v>142900</v>
      </c>
      <c r="L869" s="106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8" customHeight="1">
      <c r="A870" s="136" t="s">
        <v>590</v>
      </c>
      <c r="B870" s="78">
        <v>810</v>
      </c>
      <c r="C870" s="67" t="s">
        <v>589</v>
      </c>
      <c r="D870" s="67" t="s">
        <v>28</v>
      </c>
      <c r="E870" s="67"/>
      <c r="F870" s="67"/>
      <c r="G870" s="96">
        <f>SUM(G871,G874,G894,G877,G888,G883)</f>
        <v>58513.8</v>
      </c>
      <c r="H870" s="99">
        <f>SUM(H871,H874,H894,H877,H888,H883)</f>
        <v>-3759.8</v>
      </c>
      <c r="I870" s="99">
        <f t="shared" si="81"/>
        <v>54754</v>
      </c>
      <c r="J870" s="99">
        <f>SUM(J871,J874,J894,J877,J888,J883)</f>
        <v>1050.9000000000003</v>
      </c>
      <c r="K870" s="96">
        <f t="shared" si="79"/>
        <v>55804.9</v>
      </c>
      <c r="L870" s="106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48.75" customHeight="1">
      <c r="A871" s="124" t="s">
        <v>93</v>
      </c>
      <c r="B871" s="78">
        <v>810</v>
      </c>
      <c r="C871" s="67" t="s">
        <v>589</v>
      </c>
      <c r="D871" s="67" t="s">
        <v>28</v>
      </c>
      <c r="E871" s="67" t="s">
        <v>94</v>
      </c>
      <c r="F871" s="67"/>
      <c r="G871" s="96">
        <f aca="true" t="shared" si="82" ref="G871:J872">SUM(G872)</f>
        <v>24520.8</v>
      </c>
      <c r="H871" s="99">
        <f t="shared" si="82"/>
        <v>-3759.8</v>
      </c>
      <c r="I871" s="99">
        <f t="shared" si="81"/>
        <v>20761</v>
      </c>
      <c r="J871" s="99">
        <f t="shared" si="82"/>
        <v>2907</v>
      </c>
      <c r="K871" s="96">
        <f t="shared" si="79"/>
        <v>23668</v>
      </c>
      <c r="L871" s="106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8" customHeight="1">
      <c r="A872" s="124" t="s">
        <v>98</v>
      </c>
      <c r="B872" s="78">
        <v>810</v>
      </c>
      <c r="C872" s="67" t="s">
        <v>589</v>
      </c>
      <c r="D872" s="67" t="s">
        <v>28</v>
      </c>
      <c r="E872" s="67" t="s">
        <v>96</v>
      </c>
      <c r="F872" s="67"/>
      <c r="G872" s="96">
        <f t="shared" si="82"/>
        <v>24520.8</v>
      </c>
      <c r="H872" s="99">
        <f t="shared" si="82"/>
        <v>-3759.8</v>
      </c>
      <c r="I872" s="99">
        <f t="shared" si="81"/>
        <v>20761</v>
      </c>
      <c r="J872" s="99">
        <f t="shared" si="82"/>
        <v>2907</v>
      </c>
      <c r="K872" s="96">
        <f t="shared" si="79"/>
        <v>23668</v>
      </c>
      <c r="L872" s="106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8" customHeight="1">
      <c r="A873" s="120" t="s">
        <v>438</v>
      </c>
      <c r="B873" s="78">
        <v>810</v>
      </c>
      <c r="C873" s="67" t="s">
        <v>589</v>
      </c>
      <c r="D873" s="67" t="s">
        <v>28</v>
      </c>
      <c r="E873" s="67" t="s">
        <v>96</v>
      </c>
      <c r="F873" s="67" t="s">
        <v>277</v>
      </c>
      <c r="G873" s="96">
        <f>21654.5+2866.3</f>
        <v>24520.8</v>
      </c>
      <c r="H873" s="104">
        <f>37.2-3797</f>
        <v>-3759.8</v>
      </c>
      <c r="I873" s="99">
        <f t="shared" si="81"/>
        <v>20761</v>
      </c>
      <c r="J873" s="104">
        <f>1706+990+211</f>
        <v>2907</v>
      </c>
      <c r="K873" s="96">
        <f t="shared" si="79"/>
        <v>23668</v>
      </c>
      <c r="L873" s="106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54" customHeight="1">
      <c r="A874" s="124" t="s">
        <v>45</v>
      </c>
      <c r="B874" s="78">
        <v>810</v>
      </c>
      <c r="C874" s="67" t="s">
        <v>589</v>
      </c>
      <c r="D874" s="67" t="s">
        <v>28</v>
      </c>
      <c r="E874" s="67" t="s">
        <v>648</v>
      </c>
      <c r="F874" s="67"/>
      <c r="G874" s="96">
        <f aca="true" t="shared" si="83" ref="G874:J875">SUM(G875)</f>
        <v>862.3</v>
      </c>
      <c r="H874" s="99">
        <f t="shared" si="83"/>
        <v>0</v>
      </c>
      <c r="I874" s="99">
        <f t="shared" si="81"/>
        <v>862.3</v>
      </c>
      <c r="J874" s="99">
        <f t="shared" si="83"/>
        <v>63.9</v>
      </c>
      <c r="K874" s="96">
        <f t="shared" si="79"/>
        <v>926.1999999999999</v>
      </c>
      <c r="L874" s="106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8" customHeight="1">
      <c r="A875" s="136" t="s">
        <v>655</v>
      </c>
      <c r="B875" s="78">
        <v>810</v>
      </c>
      <c r="C875" s="67" t="s">
        <v>589</v>
      </c>
      <c r="D875" s="67" t="s">
        <v>28</v>
      </c>
      <c r="E875" s="67" t="s">
        <v>649</v>
      </c>
      <c r="F875" s="67"/>
      <c r="G875" s="96">
        <f t="shared" si="83"/>
        <v>862.3</v>
      </c>
      <c r="H875" s="99">
        <f t="shared" si="83"/>
        <v>0</v>
      </c>
      <c r="I875" s="99">
        <f t="shared" si="81"/>
        <v>862.3</v>
      </c>
      <c r="J875" s="99">
        <f t="shared" si="83"/>
        <v>63.9</v>
      </c>
      <c r="K875" s="96">
        <f t="shared" si="79"/>
        <v>926.1999999999999</v>
      </c>
      <c r="L875" s="106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8" customHeight="1">
      <c r="A876" s="124" t="s">
        <v>63</v>
      </c>
      <c r="B876" s="78">
        <v>810</v>
      </c>
      <c r="C876" s="67" t="s">
        <v>589</v>
      </c>
      <c r="D876" s="67" t="s">
        <v>28</v>
      </c>
      <c r="E876" s="67" t="s">
        <v>649</v>
      </c>
      <c r="F876" s="67" t="s">
        <v>660</v>
      </c>
      <c r="G876" s="96">
        <v>862.3</v>
      </c>
      <c r="H876" s="104"/>
      <c r="I876" s="99">
        <f t="shared" si="81"/>
        <v>862.3</v>
      </c>
      <c r="J876" s="104">
        <v>63.9</v>
      </c>
      <c r="K876" s="96">
        <f t="shared" si="79"/>
        <v>926.1999999999999</v>
      </c>
      <c r="L876" s="106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8" customHeight="1">
      <c r="A877" s="146" t="s">
        <v>145</v>
      </c>
      <c r="B877" s="78">
        <v>810</v>
      </c>
      <c r="C877" s="67" t="s">
        <v>589</v>
      </c>
      <c r="D877" s="67" t="s">
        <v>28</v>
      </c>
      <c r="E877" s="67" t="s">
        <v>468</v>
      </c>
      <c r="F877" s="67"/>
      <c r="G877" s="96">
        <f>SUM(G878,G880)</f>
        <v>11303.300000000001</v>
      </c>
      <c r="H877" s="99">
        <f>SUM(H878,H880)</f>
        <v>0</v>
      </c>
      <c r="I877" s="99">
        <f t="shared" si="81"/>
        <v>11303.300000000001</v>
      </c>
      <c r="J877" s="99">
        <f>SUM(J878,J880)</f>
        <v>-465.2</v>
      </c>
      <c r="K877" s="96">
        <f t="shared" si="79"/>
        <v>10838.1</v>
      </c>
      <c r="L877" s="106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34.5" customHeight="1">
      <c r="A878" s="135" t="s">
        <v>172</v>
      </c>
      <c r="B878" s="78">
        <v>810</v>
      </c>
      <c r="C878" s="67" t="s">
        <v>589</v>
      </c>
      <c r="D878" s="67" t="s">
        <v>28</v>
      </c>
      <c r="E878" s="67" t="s">
        <v>146</v>
      </c>
      <c r="F878" s="67"/>
      <c r="G878" s="96">
        <f>G879</f>
        <v>1487</v>
      </c>
      <c r="H878" s="99">
        <f>H879</f>
        <v>0</v>
      </c>
      <c r="I878" s="99">
        <f t="shared" si="81"/>
        <v>1487</v>
      </c>
      <c r="J878" s="99">
        <f>J879</f>
        <v>-465.2</v>
      </c>
      <c r="K878" s="96">
        <f t="shared" si="79"/>
        <v>1021.8</v>
      </c>
      <c r="L878" s="106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8" customHeight="1">
      <c r="A879" s="124" t="s">
        <v>453</v>
      </c>
      <c r="B879" s="78">
        <v>810</v>
      </c>
      <c r="C879" s="67" t="s">
        <v>589</v>
      </c>
      <c r="D879" s="67" t="s">
        <v>28</v>
      </c>
      <c r="E879" s="67" t="s">
        <v>146</v>
      </c>
      <c r="F879" s="67" t="s">
        <v>275</v>
      </c>
      <c r="G879" s="96">
        <v>1487</v>
      </c>
      <c r="H879" s="104"/>
      <c r="I879" s="99">
        <f t="shared" si="81"/>
        <v>1487</v>
      </c>
      <c r="J879" s="104">
        <v>-465.2</v>
      </c>
      <c r="K879" s="96">
        <f t="shared" si="79"/>
        <v>1021.8</v>
      </c>
      <c r="L879" s="106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36" customHeight="1">
      <c r="A880" s="135" t="s">
        <v>362</v>
      </c>
      <c r="B880" s="78">
        <v>810</v>
      </c>
      <c r="C880" s="67" t="s">
        <v>589</v>
      </c>
      <c r="D880" s="67" t="s">
        <v>28</v>
      </c>
      <c r="E880" s="67" t="s">
        <v>364</v>
      </c>
      <c r="F880" s="67"/>
      <c r="G880" s="96">
        <f>G881+G882</f>
        <v>9816.300000000001</v>
      </c>
      <c r="H880" s="99">
        <f>H881+H882</f>
        <v>0</v>
      </c>
      <c r="I880" s="99">
        <f t="shared" si="81"/>
        <v>9816.300000000001</v>
      </c>
      <c r="J880" s="99">
        <f>J881+J882</f>
        <v>0</v>
      </c>
      <c r="K880" s="96">
        <f t="shared" si="79"/>
        <v>9816.300000000001</v>
      </c>
      <c r="L880" s="106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9.5" customHeight="1">
      <c r="A881" s="124" t="s">
        <v>63</v>
      </c>
      <c r="B881" s="78">
        <v>810</v>
      </c>
      <c r="C881" s="67" t="s">
        <v>589</v>
      </c>
      <c r="D881" s="67" t="s">
        <v>28</v>
      </c>
      <c r="E881" s="67" t="s">
        <v>364</v>
      </c>
      <c r="F881" s="67" t="s">
        <v>660</v>
      </c>
      <c r="G881" s="96">
        <v>528.1</v>
      </c>
      <c r="H881" s="104"/>
      <c r="I881" s="99">
        <f t="shared" si="81"/>
        <v>528.1</v>
      </c>
      <c r="J881" s="104"/>
      <c r="K881" s="96">
        <f t="shared" si="79"/>
        <v>528.1</v>
      </c>
      <c r="L881" s="106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8" customHeight="1">
      <c r="A882" s="124" t="s">
        <v>453</v>
      </c>
      <c r="B882" s="78">
        <v>810</v>
      </c>
      <c r="C882" s="67" t="s">
        <v>589</v>
      </c>
      <c r="D882" s="67" t="s">
        <v>28</v>
      </c>
      <c r="E882" s="67" t="s">
        <v>364</v>
      </c>
      <c r="F882" s="67" t="s">
        <v>275</v>
      </c>
      <c r="G882" s="96">
        <v>9288.2</v>
      </c>
      <c r="H882" s="104"/>
      <c r="I882" s="99">
        <f t="shared" si="81"/>
        <v>9288.2</v>
      </c>
      <c r="J882" s="104"/>
      <c r="K882" s="96">
        <f t="shared" si="79"/>
        <v>9288.2</v>
      </c>
      <c r="L882" s="106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8" customHeight="1">
      <c r="A883" s="124" t="s">
        <v>439</v>
      </c>
      <c r="B883" s="78">
        <v>810</v>
      </c>
      <c r="C883" s="67" t="s">
        <v>589</v>
      </c>
      <c r="D883" s="67" t="s">
        <v>28</v>
      </c>
      <c r="E883" s="67" t="s">
        <v>471</v>
      </c>
      <c r="F883" s="67"/>
      <c r="G883" s="96">
        <f aca="true" t="shared" si="84" ref="G883:J884">G884</f>
        <v>2180</v>
      </c>
      <c r="H883" s="99">
        <f t="shared" si="84"/>
        <v>0</v>
      </c>
      <c r="I883" s="99">
        <f t="shared" si="81"/>
        <v>2180</v>
      </c>
      <c r="J883" s="99">
        <f>J884+J886</f>
        <v>-251.8</v>
      </c>
      <c r="K883" s="96">
        <f t="shared" si="79"/>
        <v>1928.2</v>
      </c>
      <c r="L883" s="106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32.25" customHeight="1">
      <c r="A884" s="124" t="s">
        <v>361</v>
      </c>
      <c r="B884" s="78">
        <v>810</v>
      </c>
      <c r="C884" s="67" t="s">
        <v>589</v>
      </c>
      <c r="D884" s="67" t="s">
        <v>28</v>
      </c>
      <c r="E884" s="67" t="s">
        <v>553</v>
      </c>
      <c r="F884" s="67"/>
      <c r="G884" s="96">
        <f t="shared" si="84"/>
        <v>2180</v>
      </c>
      <c r="H884" s="99">
        <f t="shared" si="84"/>
        <v>0</v>
      </c>
      <c r="I884" s="99">
        <f t="shared" si="81"/>
        <v>2180</v>
      </c>
      <c r="J884" s="99">
        <f t="shared" si="84"/>
        <v>-251.8</v>
      </c>
      <c r="K884" s="96">
        <f t="shared" si="79"/>
        <v>1928.2</v>
      </c>
      <c r="L884" s="106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8" customHeight="1">
      <c r="A885" s="120" t="s">
        <v>620</v>
      </c>
      <c r="B885" s="78">
        <v>810</v>
      </c>
      <c r="C885" s="67" t="s">
        <v>589</v>
      </c>
      <c r="D885" s="67" t="s">
        <v>28</v>
      </c>
      <c r="E885" s="67" t="s">
        <v>553</v>
      </c>
      <c r="F885" s="67" t="s">
        <v>104</v>
      </c>
      <c r="G885" s="96">
        <v>2180</v>
      </c>
      <c r="H885" s="104"/>
      <c r="I885" s="99">
        <f t="shared" si="81"/>
        <v>2180</v>
      </c>
      <c r="J885" s="104">
        <v>-251.8</v>
      </c>
      <c r="K885" s="96">
        <f t="shared" si="79"/>
        <v>1928.2</v>
      </c>
      <c r="L885" s="106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36.75" customHeight="1" hidden="1">
      <c r="A886" s="129" t="s">
        <v>745</v>
      </c>
      <c r="B886" s="78">
        <v>810</v>
      </c>
      <c r="C886" s="67" t="s">
        <v>589</v>
      </c>
      <c r="D886" s="67" t="s">
        <v>28</v>
      </c>
      <c r="E886" s="67" t="s">
        <v>746</v>
      </c>
      <c r="F886" s="67"/>
      <c r="G886" s="96"/>
      <c r="H886" s="104"/>
      <c r="I886" s="99"/>
      <c r="J886" s="104">
        <f>J887</f>
        <v>0</v>
      </c>
      <c r="K886" s="96">
        <f t="shared" si="79"/>
        <v>0</v>
      </c>
      <c r="L886" s="106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8" customHeight="1" hidden="1">
      <c r="A887" s="124" t="s">
        <v>63</v>
      </c>
      <c r="B887" s="78">
        <v>810</v>
      </c>
      <c r="C887" s="67" t="s">
        <v>589</v>
      </c>
      <c r="D887" s="67" t="s">
        <v>28</v>
      </c>
      <c r="E887" s="67" t="s">
        <v>746</v>
      </c>
      <c r="F887" s="67" t="s">
        <v>660</v>
      </c>
      <c r="G887" s="96"/>
      <c r="H887" s="104"/>
      <c r="I887" s="99"/>
      <c r="J887" s="104">
        <f>1675.8-1675.8</f>
        <v>0</v>
      </c>
      <c r="K887" s="96">
        <f t="shared" si="79"/>
        <v>0</v>
      </c>
      <c r="L887" s="106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8" customHeight="1">
      <c r="A888" s="136" t="s">
        <v>79</v>
      </c>
      <c r="B888" s="78">
        <v>810</v>
      </c>
      <c r="C888" s="67" t="s">
        <v>589</v>
      </c>
      <c r="D888" s="67" t="s">
        <v>28</v>
      </c>
      <c r="E888" s="67" t="s">
        <v>80</v>
      </c>
      <c r="F888" s="67"/>
      <c r="G888" s="96">
        <f>SUM(G892,G889)</f>
        <v>19347.4</v>
      </c>
      <c r="H888" s="99">
        <f>SUM(H892,H889)</f>
        <v>0</v>
      </c>
      <c r="I888" s="99">
        <f t="shared" si="81"/>
        <v>19347.4</v>
      </c>
      <c r="J888" s="99">
        <f>SUM(J892,J889)</f>
        <v>-1203</v>
      </c>
      <c r="K888" s="96">
        <f t="shared" si="79"/>
        <v>18144.4</v>
      </c>
      <c r="L888" s="106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20" customHeight="1">
      <c r="A889" s="136" t="s">
        <v>157</v>
      </c>
      <c r="B889" s="78">
        <v>810</v>
      </c>
      <c r="C889" s="67" t="s">
        <v>589</v>
      </c>
      <c r="D889" s="67" t="s">
        <v>28</v>
      </c>
      <c r="E889" s="67" t="s">
        <v>78</v>
      </c>
      <c r="F889" s="67"/>
      <c r="G889" s="96">
        <f>G890+G891</f>
        <v>18047.2</v>
      </c>
      <c r="H889" s="99">
        <f>H890+H891</f>
        <v>0</v>
      </c>
      <c r="I889" s="99">
        <f t="shared" si="81"/>
        <v>18047.2</v>
      </c>
      <c r="J889" s="99">
        <f>J890+J891</f>
        <v>-1203</v>
      </c>
      <c r="K889" s="96">
        <f t="shared" si="79"/>
        <v>16844.2</v>
      </c>
      <c r="L889" s="106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8" customHeight="1">
      <c r="A890" s="124" t="s">
        <v>63</v>
      </c>
      <c r="B890" s="78">
        <v>810</v>
      </c>
      <c r="C890" s="67" t="s">
        <v>589</v>
      </c>
      <c r="D890" s="67" t="s">
        <v>28</v>
      </c>
      <c r="E890" s="67" t="s">
        <v>78</v>
      </c>
      <c r="F890" s="67" t="s">
        <v>660</v>
      </c>
      <c r="G890" s="96">
        <v>6792.8</v>
      </c>
      <c r="H890" s="99"/>
      <c r="I890" s="99">
        <f t="shared" si="81"/>
        <v>6792.8</v>
      </c>
      <c r="J890" s="99"/>
      <c r="K890" s="96">
        <f t="shared" si="79"/>
        <v>6792.8</v>
      </c>
      <c r="L890" s="106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8" customHeight="1">
      <c r="A891" s="124" t="s">
        <v>453</v>
      </c>
      <c r="B891" s="78">
        <v>810</v>
      </c>
      <c r="C891" s="67" t="s">
        <v>589</v>
      </c>
      <c r="D891" s="67" t="s">
        <v>28</v>
      </c>
      <c r="E891" s="67" t="s">
        <v>78</v>
      </c>
      <c r="F891" s="67" t="s">
        <v>275</v>
      </c>
      <c r="G891" s="96">
        <v>11254.4</v>
      </c>
      <c r="H891" s="104"/>
      <c r="I891" s="99">
        <f t="shared" si="81"/>
        <v>11254.4</v>
      </c>
      <c r="J891" s="104">
        <v>-1203</v>
      </c>
      <c r="K891" s="96">
        <f t="shared" si="79"/>
        <v>10051.4</v>
      </c>
      <c r="L891" s="106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49.5" customHeight="1">
      <c r="A892" s="120" t="s">
        <v>523</v>
      </c>
      <c r="B892" s="78">
        <v>810</v>
      </c>
      <c r="C892" s="67" t="s">
        <v>589</v>
      </c>
      <c r="D892" s="67" t="s">
        <v>28</v>
      </c>
      <c r="E892" s="67" t="s">
        <v>417</v>
      </c>
      <c r="F892" s="67"/>
      <c r="G892" s="96">
        <f>G893</f>
        <v>1300.2</v>
      </c>
      <c r="H892" s="99">
        <f>H893</f>
        <v>0</v>
      </c>
      <c r="I892" s="99">
        <f t="shared" si="81"/>
        <v>1300.2</v>
      </c>
      <c r="J892" s="99">
        <f>J893</f>
        <v>0</v>
      </c>
      <c r="K892" s="96">
        <f t="shared" si="79"/>
        <v>1300.2</v>
      </c>
      <c r="L892" s="106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8" customHeight="1">
      <c r="A893" s="124" t="s">
        <v>453</v>
      </c>
      <c r="B893" s="78">
        <v>810</v>
      </c>
      <c r="C893" s="67" t="s">
        <v>589</v>
      </c>
      <c r="D893" s="67" t="s">
        <v>28</v>
      </c>
      <c r="E893" s="67" t="s">
        <v>417</v>
      </c>
      <c r="F893" s="67" t="s">
        <v>275</v>
      </c>
      <c r="G893" s="96">
        <v>1300.2</v>
      </c>
      <c r="H893" s="104"/>
      <c r="I893" s="99">
        <f t="shared" si="81"/>
        <v>1300.2</v>
      </c>
      <c r="J893" s="104"/>
      <c r="K893" s="96">
        <f t="shared" si="79"/>
        <v>1300.2</v>
      </c>
      <c r="L893" s="106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8" customHeight="1">
      <c r="A894" s="146" t="s">
        <v>441</v>
      </c>
      <c r="B894" s="78">
        <v>810</v>
      </c>
      <c r="C894" s="67" t="s">
        <v>589</v>
      </c>
      <c r="D894" s="67" t="s">
        <v>28</v>
      </c>
      <c r="E894" s="79" t="s">
        <v>433</v>
      </c>
      <c r="F894" s="79"/>
      <c r="G894" s="96">
        <f>SUM(G896)</f>
        <v>300</v>
      </c>
      <c r="H894" s="99">
        <f>SUM(H896)</f>
        <v>0</v>
      </c>
      <c r="I894" s="99">
        <f t="shared" si="81"/>
        <v>300</v>
      </c>
      <c r="J894" s="99">
        <f>SUM(J896)</f>
        <v>0</v>
      </c>
      <c r="K894" s="96">
        <f t="shared" si="79"/>
        <v>300</v>
      </c>
      <c r="L894" s="106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8" customHeight="1">
      <c r="A895" s="146" t="s">
        <v>470</v>
      </c>
      <c r="B895" s="78">
        <v>810</v>
      </c>
      <c r="C895" s="67" t="s">
        <v>589</v>
      </c>
      <c r="D895" s="67" t="s">
        <v>28</v>
      </c>
      <c r="E895" s="79" t="s">
        <v>434</v>
      </c>
      <c r="F895" s="79"/>
      <c r="G895" s="96">
        <f>G896</f>
        <v>300</v>
      </c>
      <c r="H895" s="99">
        <f>H896</f>
        <v>0</v>
      </c>
      <c r="I895" s="99">
        <f t="shared" si="81"/>
        <v>300</v>
      </c>
      <c r="J895" s="99">
        <f>J896</f>
        <v>0</v>
      </c>
      <c r="K895" s="96">
        <f t="shared" si="79"/>
        <v>300</v>
      </c>
      <c r="L895" s="106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20.25" customHeight="1">
      <c r="A896" s="136" t="s">
        <v>278</v>
      </c>
      <c r="B896" s="78">
        <v>810</v>
      </c>
      <c r="C896" s="67" t="s">
        <v>589</v>
      </c>
      <c r="D896" s="67" t="s">
        <v>28</v>
      </c>
      <c r="E896" s="67" t="s">
        <v>446</v>
      </c>
      <c r="F896" s="67"/>
      <c r="G896" s="96">
        <f>SUM(G897)</f>
        <v>300</v>
      </c>
      <c r="H896" s="99">
        <f>SUM(H897)</f>
        <v>0</v>
      </c>
      <c r="I896" s="99">
        <f t="shared" si="81"/>
        <v>300</v>
      </c>
      <c r="J896" s="99">
        <f>SUM(J897)</f>
        <v>0</v>
      </c>
      <c r="K896" s="96">
        <f t="shared" si="79"/>
        <v>300</v>
      </c>
      <c r="L896" s="106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8" customHeight="1">
      <c r="A897" s="120" t="s">
        <v>620</v>
      </c>
      <c r="B897" s="78">
        <v>810</v>
      </c>
      <c r="C897" s="67" t="s">
        <v>589</v>
      </c>
      <c r="D897" s="67" t="s">
        <v>28</v>
      </c>
      <c r="E897" s="67" t="s">
        <v>446</v>
      </c>
      <c r="F897" s="67" t="s">
        <v>104</v>
      </c>
      <c r="G897" s="96">
        <v>300</v>
      </c>
      <c r="H897" s="104"/>
      <c r="I897" s="99">
        <f t="shared" si="81"/>
        <v>300</v>
      </c>
      <c r="J897" s="104"/>
      <c r="K897" s="96">
        <f t="shared" si="79"/>
        <v>300</v>
      </c>
      <c r="L897" s="106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9.5" customHeight="1">
      <c r="A898" s="137" t="s">
        <v>164</v>
      </c>
      <c r="B898" s="78">
        <v>811</v>
      </c>
      <c r="C898" s="67"/>
      <c r="D898" s="67"/>
      <c r="E898" s="80"/>
      <c r="F898" s="80"/>
      <c r="G898" s="96">
        <f>SUM(G899,G912)</f>
        <v>39807.8</v>
      </c>
      <c r="H898" s="99">
        <f>SUM(H899,H912)</f>
        <v>19.8</v>
      </c>
      <c r="I898" s="99">
        <f t="shared" si="81"/>
        <v>39827.600000000006</v>
      </c>
      <c r="J898" s="99">
        <f>SUM(J899,J912)</f>
        <v>2314.1</v>
      </c>
      <c r="K898" s="96">
        <f t="shared" si="79"/>
        <v>42141.700000000004</v>
      </c>
      <c r="L898" s="106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9.5" customHeight="1">
      <c r="A899" s="149" t="s">
        <v>65</v>
      </c>
      <c r="B899" s="78">
        <v>811</v>
      </c>
      <c r="C899" s="67" t="s">
        <v>24</v>
      </c>
      <c r="D899" s="67"/>
      <c r="E899" s="80"/>
      <c r="F899" s="80"/>
      <c r="G899" s="96">
        <f>SUM(G900)</f>
        <v>14750.4</v>
      </c>
      <c r="H899" s="99">
        <f>SUM(H900)</f>
        <v>0</v>
      </c>
      <c r="I899" s="99">
        <f t="shared" si="81"/>
        <v>14750.4</v>
      </c>
      <c r="J899" s="99">
        <f>SUM(J900)</f>
        <v>0</v>
      </c>
      <c r="K899" s="96">
        <f t="shared" si="79"/>
        <v>14750.4</v>
      </c>
      <c r="L899" s="106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9.5" customHeight="1">
      <c r="A900" s="136" t="s">
        <v>397</v>
      </c>
      <c r="B900" s="78">
        <v>811</v>
      </c>
      <c r="C900" s="67" t="s">
        <v>24</v>
      </c>
      <c r="D900" s="67" t="s">
        <v>606</v>
      </c>
      <c r="E900" s="80"/>
      <c r="F900" s="80"/>
      <c r="G900" s="96">
        <f>SUM(G903,G906,G909,G901)</f>
        <v>14750.4</v>
      </c>
      <c r="H900" s="99">
        <f>SUM(H903,H906,H909,H901)</f>
        <v>0</v>
      </c>
      <c r="I900" s="99">
        <f t="shared" si="81"/>
        <v>14750.4</v>
      </c>
      <c r="J900" s="99">
        <f>SUM(J903,J906,J909,J901)</f>
        <v>0</v>
      </c>
      <c r="K900" s="96">
        <f t="shared" si="79"/>
        <v>14750.4</v>
      </c>
      <c r="L900" s="106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34.5" customHeight="1">
      <c r="A901" s="120" t="s">
        <v>760</v>
      </c>
      <c r="B901" s="78">
        <v>811</v>
      </c>
      <c r="C901" s="67" t="s">
        <v>24</v>
      </c>
      <c r="D901" s="67" t="s">
        <v>606</v>
      </c>
      <c r="E901" s="67" t="s">
        <v>282</v>
      </c>
      <c r="F901" s="67"/>
      <c r="G901" s="96">
        <f>G902</f>
        <v>2768</v>
      </c>
      <c r="H901" s="99">
        <f>H902</f>
        <v>0</v>
      </c>
      <c r="I901" s="99">
        <f t="shared" si="81"/>
        <v>2768</v>
      </c>
      <c r="J901" s="99">
        <f>J902</f>
        <v>0</v>
      </c>
      <c r="K901" s="96">
        <f t="shared" si="79"/>
        <v>2768</v>
      </c>
      <c r="L901" s="106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9.5" customHeight="1">
      <c r="A902" s="124" t="s">
        <v>453</v>
      </c>
      <c r="B902" s="78">
        <v>811</v>
      </c>
      <c r="C902" s="67" t="s">
        <v>24</v>
      </c>
      <c r="D902" s="67" t="s">
        <v>606</v>
      </c>
      <c r="E902" s="67" t="s">
        <v>282</v>
      </c>
      <c r="F902" s="67" t="s">
        <v>275</v>
      </c>
      <c r="G902" s="96">
        <v>2768</v>
      </c>
      <c r="H902" s="104"/>
      <c r="I902" s="99">
        <f t="shared" si="81"/>
        <v>2768</v>
      </c>
      <c r="J902" s="104"/>
      <c r="K902" s="96">
        <f t="shared" si="79"/>
        <v>2768</v>
      </c>
      <c r="L902" s="106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51.75" customHeight="1">
      <c r="A903" s="124" t="s">
        <v>93</v>
      </c>
      <c r="B903" s="78">
        <v>811</v>
      </c>
      <c r="C903" s="67" t="s">
        <v>24</v>
      </c>
      <c r="D903" s="67" t="s">
        <v>606</v>
      </c>
      <c r="E903" s="80" t="s">
        <v>94</v>
      </c>
      <c r="F903" s="80"/>
      <c r="G903" s="96">
        <f aca="true" t="shared" si="85" ref="G903:J904">SUM(G904)</f>
        <v>1629</v>
      </c>
      <c r="H903" s="99">
        <f t="shared" si="85"/>
        <v>0</v>
      </c>
      <c r="I903" s="99">
        <f t="shared" si="81"/>
        <v>1629</v>
      </c>
      <c r="J903" s="99">
        <f t="shared" si="85"/>
        <v>0</v>
      </c>
      <c r="K903" s="96">
        <f t="shared" si="79"/>
        <v>1629</v>
      </c>
      <c r="L903" s="106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33.75" customHeight="1">
      <c r="A904" s="146" t="s">
        <v>261</v>
      </c>
      <c r="B904" s="78">
        <v>811</v>
      </c>
      <c r="C904" s="67" t="s">
        <v>24</v>
      </c>
      <c r="D904" s="67" t="s">
        <v>606</v>
      </c>
      <c r="E904" s="67" t="s">
        <v>260</v>
      </c>
      <c r="F904" s="67"/>
      <c r="G904" s="96">
        <f t="shared" si="85"/>
        <v>1629</v>
      </c>
      <c r="H904" s="99">
        <f t="shared" si="85"/>
        <v>0</v>
      </c>
      <c r="I904" s="99">
        <f t="shared" si="81"/>
        <v>1629</v>
      </c>
      <c r="J904" s="99">
        <f t="shared" si="85"/>
        <v>0</v>
      </c>
      <c r="K904" s="96">
        <f t="shared" si="79"/>
        <v>1629</v>
      </c>
      <c r="L904" s="106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9.5" customHeight="1">
      <c r="A905" s="120" t="s">
        <v>438</v>
      </c>
      <c r="B905" s="78">
        <v>811</v>
      </c>
      <c r="C905" s="67" t="s">
        <v>24</v>
      </c>
      <c r="D905" s="67" t="s">
        <v>606</v>
      </c>
      <c r="E905" s="67" t="s">
        <v>260</v>
      </c>
      <c r="F905" s="67" t="s">
        <v>277</v>
      </c>
      <c r="G905" s="96">
        <v>1629</v>
      </c>
      <c r="H905" s="104"/>
      <c r="I905" s="99">
        <f t="shared" si="81"/>
        <v>1629</v>
      </c>
      <c r="J905" s="104"/>
      <c r="K905" s="96">
        <f t="shared" si="79"/>
        <v>1629</v>
      </c>
      <c r="L905" s="106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38.25" customHeight="1">
      <c r="A906" s="124" t="s">
        <v>169</v>
      </c>
      <c r="B906" s="78">
        <v>811</v>
      </c>
      <c r="C906" s="67" t="s">
        <v>24</v>
      </c>
      <c r="D906" s="67" t="s">
        <v>606</v>
      </c>
      <c r="E906" s="67" t="s">
        <v>262</v>
      </c>
      <c r="F906" s="67"/>
      <c r="G906" s="96">
        <f aca="true" t="shared" si="86" ref="G906:J907">SUM(G907)</f>
        <v>6778.4</v>
      </c>
      <c r="H906" s="99">
        <f t="shared" si="86"/>
        <v>0</v>
      </c>
      <c r="I906" s="99">
        <f t="shared" si="81"/>
        <v>6778.4</v>
      </c>
      <c r="J906" s="99">
        <f t="shared" si="86"/>
        <v>0</v>
      </c>
      <c r="K906" s="96">
        <f t="shared" si="79"/>
        <v>6778.4</v>
      </c>
      <c r="L906" s="106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36" customHeight="1">
      <c r="A907" s="135" t="s">
        <v>383</v>
      </c>
      <c r="B907" s="78">
        <v>811</v>
      </c>
      <c r="C907" s="67" t="s">
        <v>24</v>
      </c>
      <c r="D907" s="67" t="s">
        <v>606</v>
      </c>
      <c r="E907" s="67" t="s">
        <v>264</v>
      </c>
      <c r="F907" s="67"/>
      <c r="G907" s="96">
        <f t="shared" si="86"/>
        <v>6778.4</v>
      </c>
      <c r="H907" s="99">
        <f t="shared" si="86"/>
        <v>0</v>
      </c>
      <c r="I907" s="99">
        <f t="shared" si="81"/>
        <v>6778.4</v>
      </c>
      <c r="J907" s="99">
        <f t="shared" si="86"/>
        <v>0</v>
      </c>
      <c r="K907" s="96">
        <f t="shared" si="79"/>
        <v>6778.4</v>
      </c>
      <c r="L907" s="106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8.75" customHeight="1">
      <c r="A908" s="120" t="s">
        <v>438</v>
      </c>
      <c r="B908" s="78">
        <v>811</v>
      </c>
      <c r="C908" s="67" t="s">
        <v>24</v>
      </c>
      <c r="D908" s="67" t="s">
        <v>606</v>
      </c>
      <c r="E908" s="67" t="s">
        <v>264</v>
      </c>
      <c r="F908" s="67" t="s">
        <v>277</v>
      </c>
      <c r="G908" s="96">
        <v>6778.4</v>
      </c>
      <c r="H908" s="104"/>
      <c r="I908" s="99">
        <f t="shared" si="81"/>
        <v>6778.4</v>
      </c>
      <c r="J908" s="104"/>
      <c r="K908" s="96">
        <f t="shared" si="79"/>
        <v>6778.4</v>
      </c>
      <c r="L908" s="106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9.5" customHeight="1">
      <c r="A909" s="146" t="s">
        <v>70</v>
      </c>
      <c r="B909" s="78">
        <v>811</v>
      </c>
      <c r="C909" s="67" t="s">
        <v>24</v>
      </c>
      <c r="D909" s="67" t="s">
        <v>606</v>
      </c>
      <c r="E909" s="67" t="s">
        <v>432</v>
      </c>
      <c r="F909" s="67"/>
      <c r="G909" s="96">
        <f aca="true" t="shared" si="87" ref="G909:J910">G910</f>
        <v>3575</v>
      </c>
      <c r="H909" s="99">
        <f t="shared" si="87"/>
        <v>0</v>
      </c>
      <c r="I909" s="99">
        <f t="shared" si="81"/>
        <v>3575</v>
      </c>
      <c r="J909" s="99">
        <f t="shared" si="87"/>
        <v>0</v>
      </c>
      <c r="K909" s="96">
        <f t="shared" si="79"/>
        <v>3575</v>
      </c>
      <c r="L909" s="106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47" customFormat="1" ht="21.75" customHeight="1">
      <c r="A910" s="124" t="s">
        <v>71</v>
      </c>
      <c r="B910" s="78">
        <v>811</v>
      </c>
      <c r="C910" s="67" t="s">
        <v>24</v>
      </c>
      <c r="D910" s="67" t="s">
        <v>606</v>
      </c>
      <c r="E910" s="67" t="s">
        <v>490</v>
      </c>
      <c r="F910" s="67"/>
      <c r="G910" s="96">
        <f t="shared" si="87"/>
        <v>3575</v>
      </c>
      <c r="H910" s="99">
        <f t="shared" si="87"/>
        <v>0</v>
      </c>
      <c r="I910" s="99">
        <f t="shared" si="81"/>
        <v>3575</v>
      </c>
      <c r="J910" s="99">
        <f t="shared" si="87"/>
        <v>0</v>
      </c>
      <c r="K910" s="96">
        <f t="shared" si="79"/>
        <v>3575</v>
      </c>
      <c r="L910" s="106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48" customFormat="1" ht="18.75" customHeight="1">
      <c r="A911" s="120" t="s">
        <v>438</v>
      </c>
      <c r="B911" s="78">
        <v>811</v>
      </c>
      <c r="C911" s="67" t="s">
        <v>24</v>
      </c>
      <c r="D911" s="67" t="s">
        <v>606</v>
      </c>
      <c r="E911" s="67" t="s">
        <v>490</v>
      </c>
      <c r="F911" s="67" t="s">
        <v>277</v>
      </c>
      <c r="G911" s="96">
        <f>400+35+2340+500+300</f>
        <v>3575</v>
      </c>
      <c r="H911" s="104"/>
      <c r="I911" s="99">
        <f t="shared" si="81"/>
        <v>3575</v>
      </c>
      <c r="J911" s="104"/>
      <c r="K911" s="96">
        <f t="shared" si="79"/>
        <v>3575</v>
      </c>
      <c r="L911" s="106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8.75" customHeight="1">
      <c r="A912" s="120" t="s">
        <v>537</v>
      </c>
      <c r="B912" s="78">
        <v>811</v>
      </c>
      <c r="C912" s="67" t="s">
        <v>27</v>
      </c>
      <c r="D912" s="67"/>
      <c r="E912" s="67"/>
      <c r="F912" s="67"/>
      <c r="G912" s="96">
        <f>SUM(G922,G913)</f>
        <v>25057.4</v>
      </c>
      <c r="H912" s="99">
        <f>SUM(H922,H913)</f>
        <v>19.8</v>
      </c>
      <c r="I912" s="99">
        <f t="shared" si="81"/>
        <v>25077.2</v>
      </c>
      <c r="J912" s="99">
        <f>SUM(J922,J913)</f>
        <v>2314.1</v>
      </c>
      <c r="K912" s="96">
        <f t="shared" si="79"/>
        <v>27391.3</v>
      </c>
      <c r="L912" s="106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8.75" customHeight="1">
      <c r="A913" s="120" t="s">
        <v>855</v>
      </c>
      <c r="B913" s="78">
        <v>811</v>
      </c>
      <c r="C913" s="67" t="s">
        <v>27</v>
      </c>
      <c r="D913" s="67" t="s">
        <v>24</v>
      </c>
      <c r="E913" s="67"/>
      <c r="F913" s="67"/>
      <c r="G913" s="96">
        <f>G914+G919</f>
        <v>0</v>
      </c>
      <c r="H913" s="99">
        <f>H914+H919</f>
        <v>0</v>
      </c>
      <c r="I913" s="99">
        <f t="shared" si="81"/>
        <v>0</v>
      </c>
      <c r="J913" s="99">
        <f>J914+J919</f>
        <v>214.1</v>
      </c>
      <c r="K913" s="96">
        <f t="shared" si="79"/>
        <v>214.1</v>
      </c>
      <c r="L913" s="106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8.75" customHeight="1">
      <c r="A914" s="120" t="s">
        <v>857</v>
      </c>
      <c r="B914" s="78">
        <v>811</v>
      </c>
      <c r="C914" s="67" t="s">
        <v>27</v>
      </c>
      <c r="D914" s="67" t="s">
        <v>24</v>
      </c>
      <c r="E914" s="67" t="s">
        <v>856</v>
      </c>
      <c r="F914" s="67"/>
      <c r="G914" s="96">
        <f>G915+G917</f>
        <v>0</v>
      </c>
      <c r="H914" s="99">
        <f>H915+H917</f>
        <v>0</v>
      </c>
      <c r="I914" s="99">
        <f t="shared" si="81"/>
        <v>0</v>
      </c>
      <c r="J914" s="99">
        <f>J915+J917</f>
        <v>203.4</v>
      </c>
      <c r="K914" s="96">
        <f aca="true" t="shared" si="88" ref="K914:K977">I914+J914</f>
        <v>203.4</v>
      </c>
      <c r="L914" s="106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8.75" customHeight="1" hidden="1">
      <c r="A915" s="120" t="s">
        <v>859</v>
      </c>
      <c r="B915" s="78">
        <v>811</v>
      </c>
      <c r="C915" s="67" t="s">
        <v>27</v>
      </c>
      <c r="D915" s="67" t="s">
        <v>24</v>
      </c>
      <c r="E915" s="67" t="s">
        <v>858</v>
      </c>
      <c r="F915" s="67"/>
      <c r="G915" s="96">
        <f>G916</f>
        <v>0</v>
      </c>
      <c r="H915" s="99">
        <f>H916</f>
        <v>0</v>
      </c>
      <c r="I915" s="99">
        <f t="shared" si="81"/>
        <v>0</v>
      </c>
      <c r="J915" s="99">
        <f>J916</f>
        <v>0</v>
      </c>
      <c r="K915" s="96">
        <f t="shared" si="88"/>
        <v>0</v>
      </c>
      <c r="L915" s="106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8.75" customHeight="1" hidden="1">
      <c r="A916" s="124" t="s">
        <v>63</v>
      </c>
      <c r="B916" s="78">
        <v>811</v>
      </c>
      <c r="C916" s="67" t="s">
        <v>27</v>
      </c>
      <c r="D916" s="67" t="s">
        <v>24</v>
      </c>
      <c r="E916" s="67" t="s">
        <v>858</v>
      </c>
      <c r="F916" s="67" t="s">
        <v>660</v>
      </c>
      <c r="G916" s="96"/>
      <c r="H916" s="99"/>
      <c r="I916" s="99">
        <f t="shared" si="81"/>
        <v>0</v>
      </c>
      <c r="J916" s="99"/>
      <c r="K916" s="96">
        <f t="shared" si="88"/>
        <v>0</v>
      </c>
      <c r="L916" s="106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33.75" customHeight="1">
      <c r="A917" s="124" t="s">
        <v>58</v>
      </c>
      <c r="B917" s="78">
        <v>811</v>
      </c>
      <c r="C917" s="67" t="s">
        <v>27</v>
      </c>
      <c r="D917" s="67" t="s">
        <v>24</v>
      </c>
      <c r="E917" s="67" t="s">
        <v>680</v>
      </c>
      <c r="F917" s="67"/>
      <c r="G917" s="96">
        <f>SUM(G918)</f>
        <v>0</v>
      </c>
      <c r="H917" s="99">
        <f>SUM(H918)</f>
        <v>0</v>
      </c>
      <c r="I917" s="99">
        <f t="shared" si="81"/>
        <v>0</v>
      </c>
      <c r="J917" s="99">
        <f>SUM(J918)</f>
        <v>203.4</v>
      </c>
      <c r="K917" s="96">
        <f t="shared" si="88"/>
        <v>203.4</v>
      </c>
      <c r="L917" s="106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20.25" customHeight="1">
      <c r="A918" s="124" t="s">
        <v>63</v>
      </c>
      <c r="B918" s="78">
        <v>811</v>
      </c>
      <c r="C918" s="67" t="s">
        <v>27</v>
      </c>
      <c r="D918" s="67" t="s">
        <v>24</v>
      </c>
      <c r="E918" s="67" t="s">
        <v>680</v>
      </c>
      <c r="F918" s="67" t="s">
        <v>660</v>
      </c>
      <c r="G918" s="96"/>
      <c r="H918" s="99"/>
      <c r="I918" s="99">
        <f t="shared" si="81"/>
        <v>0</v>
      </c>
      <c r="J918" s="99">
        <v>203.4</v>
      </c>
      <c r="K918" s="96">
        <f t="shared" si="88"/>
        <v>203.4</v>
      </c>
      <c r="L918" s="106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20.25" customHeight="1">
      <c r="A919" s="124" t="s">
        <v>367</v>
      </c>
      <c r="B919" s="78">
        <v>811</v>
      </c>
      <c r="C919" s="67" t="s">
        <v>27</v>
      </c>
      <c r="D919" s="67" t="s">
        <v>24</v>
      </c>
      <c r="E919" s="67" t="s">
        <v>471</v>
      </c>
      <c r="F919" s="67"/>
      <c r="G919" s="96">
        <f aca="true" t="shared" si="89" ref="G919:J920">SUM(G920)</f>
        <v>0</v>
      </c>
      <c r="H919" s="99">
        <f t="shared" si="89"/>
        <v>0</v>
      </c>
      <c r="I919" s="99">
        <f t="shared" si="81"/>
        <v>0</v>
      </c>
      <c r="J919" s="99">
        <f t="shared" si="89"/>
        <v>10.7</v>
      </c>
      <c r="K919" s="96">
        <f t="shared" si="88"/>
        <v>10.7</v>
      </c>
      <c r="L919" s="106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54" customHeight="1">
      <c r="A920" s="124" t="s">
        <v>57</v>
      </c>
      <c r="B920" s="78">
        <v>811</v>
      </c>
      <c r="C920" s="67" t="s">
        <v>27</v>
      </c>
      <c r="D920" s="67" t="s">
        <v>24</v>
      </c>
      <c r="E920" s="67" t="s">
        <v>702</v>
      </c>
      <c r="F920" s="67"/>
      <c r="G920" s="96">
        <f t="shared" si="89"/>
        <v>0</v>
      </c>
      <c r="H920" s="99">
        <f t="shared" si="89"/>
        <v>0</v>
      </c>
      <c r="I920" s="99">
        <f t="shared" si="81"/>
        <v>0</v>
      </c>
      <c r="J920" s="99">
        <f t="shared" si="89"/>
        <v>10.7</v>
      </c>
      <c r="K920" s="96">
        <f t="shared" si="88"/>
        <v>10.7</v>
      </c>
      <c r="L920" s="106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20.25" customHeight="1">
      <c r="A921" s="124" t="s">
        <v>63</v>
      </c>
      <c r="B921" s="78">
        <v>811</v>
      </c>
      <c r="C921" s="67" t="s">
        <v>27</v>
      </c>
      <c r="D921" s="67" t="s">
        <v>24</v>
      </c>
      <c r="E921" s="67" t="s">
        <v>702</v>
      </c>
      <c r="F921" s="67" t="s">
        <v>660</v>
      </c>
      <c r="G921" s="96"/>
      <c r="H921" s="99"/>
      <c r="I921" s="99">
        <f t="shared" si="81"/>
        <v>0</v>
      </c>
      <c r="J921" s="99">
        <v>10.7</v>
      </c>
      <c r="K921" s="96">
        <f t="shared" si="88"/>
        <v>10.7</v>
      </c>
      <c r="L921" s="106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20.25" customHeight="1">
      <c r="A922" s="136" t="s">
        <v>110</v>
      </c>
      <c r="B922" s="78">
        <v>811</v>
      </c>
      <c r="C922" s="67" t="s">
        <v>27</v>
      </c>
      <c r="D922" s="67" t="s">
        <v>626</v>
      </c>
      <c r="E922" s="67"/>
      <c r="F922" s="67"/>
      <c r="G922" s="96">
        <f>SUM(G923,G926)</f>
        <v>25057.4</v>
      </c>
      <c r="H922" s="99">
        <f>SUM(H923,H926)</f>
        <v>19.8</v>
      </c>
      <c r="I922" s="99">
        <f t="shared" si="81"/>
        <v>25077.2</v>
      </c>
      <c r="J922" s="99">
        <f>SUM(J923,J926)</f>
        <v>2100</v>
      </c>
      <c r="K922" s="96">
        <f t="shared" si="88"/>
        <v>27177.2</v>
      </c>
      <c r="L922" s="106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51" customHeight="1">
      <c r="A923" s="124" t="s">
        <v>93</v>
      </c>
      <c r="B923" s="78">
        <v>811</v>
      </c>
      <c r="C923" s="67" t="s">
        <v>27</v>
      </c>
      <c r="D923" s="67" t="s">
        <v>626</v>
      </c>
      <c r="E923" s="67" t="s">
        <v>94</v>
      </c>
      <c r="F923" s="67"/>
      <c r="G923" s="96">
        <f aca="true" t="shared" si="90" ref="G923:J924">SUM(G924)</f>
        <v>24736.7</v>
      </c>
      <c r="H923" s="99">
        <f t="shared" si="90"/>
        <v>19.8</v>
      </c>
      <c r="I923" s="99">
        <f t="shared" si="81"/>
        <v>24756.5</v>
      </c>
      <c r="J923" s="99">
        <f t="shared" si="90"/>
        <v>2100</v>
      </c>
      <c r="K923" s="96">
        <f t="shared" si="88"/>
        <v>26856.5</v>
      </c>
      <c r="L923" s="106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7.25" customHeight="1">
      <c r="A924" s="124" t="s">
        <v>98</v>
      </c>
      <c r="B924" s="78">
        <v>811</v>
      </c>
      <c r="C924" s="67" t="s">
        <v>27</v>
      </c>
      <c r="D924" s="67" t="s">
        <v>626</v>
      </c>
      <c r="E924" s="67" t="s">
        <v>96</v>
      </c>
      <c r="F924" s="67"/>
      <c r="G924" s="96">
        <f t="shared" si="90"/>
        <v>24736.7</v>
      </c>
      <c r="H924" s="99">
        <f t="shared" si="90"/>
        <v>19.8</v>
      </c>
      <c r="I924" s="99">
        <f t="shared" si="81"/>
        <v>24756.5</v>
      </c>
      <c r="J924" s="99">
        <f t="shared" si="90"/>
        <v>2100</v>
      </c>
      <c r="K924" s="96">
        <f t="shared" si="88"/>
        <v>26856.5</v>
      </c>
      <c r="L924" s="106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9.5" customHeight="1">
      <c r="A925" s="120" t="s">
        <v>438</v>
      </c>
      <c r="B925" s="78">
        <v>811</v>
      </c>
      <c r="C925" s="67" t="s">
        <v>27</v>
      </c>
      <c r="D925" s="67" t="s">
        <v>626</v>
      </c>
      <c r="E925" s="67" t="s">
        <v>96</v>
      </c>
      <c r="F925" s="67" t="s">
        <v>277</v>
      </c>
      <c r="G925" s="96">
        <f>23059.8+1676.9</f>
        <v>24736.7</v>
      </c>
      <c r="H925" s="104">
        <v>19.8</v>
      </c>
      <c r="I925" s="99">
        <f t="shared" si="81"/>
        <v>24756.5</v>
      </c>
      <c r="J925" s="104">
        <f>2100</f>
        <v>2100</v>
      </c>
      <c r="K925" s="96">
        <f t="shared" si="88"/>
        <v>26856.5</v>
      </c>
      <c r="L925" s="106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20.25" customHeight="1">
      <c r="A926" s="136" t="s">
        <v>306</v>
      </c>
      <c r="B926" s="78">
        <v>811</v>
      </c>
      <c r="C926" s="67" t="s">
        <v>27</v>
      </c>
      <c r="D926" s="67" t="s">
        <v>626</v>
      </c>
      <c r="E926" s="67" t="s">
        <v>539</v>
      </c>
      <c r="F926" s="67"/>
      <c r="G926" s="96">
        <f>SUM(G927,G929)</f>
        <v>320.7</v>
      </c>
      <c r="H926" s="99">
        <f>SUM(H927,H929)</f>
        <v>0</v>
      </c>
      <c r="I926" s="99">
        <f t="shared" si="81"/>
        <v>320.7</v>
      </c>
      <c r="J926" s="99">
        <f>SUM(J927,J929)</f>
        <v>0</v>
      </c>
      <c r="K926" s="96">
        <f t="shared" si="88"/>
        <v>320.7</v>
      </c>
      <c r="L926" s="106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20.25" customHeight="1">
      <c r="A927" s="150" t="s">
        <v>554</v>
      </c>
      <c r="B927" s="78">
        <v>811</v>
      </c>
      <c r="C927" s="67" t="s">
        <v>27</v>
      </c>
      <c r="D927" s="67" t="s">
        <v>626</v>
      </c>
      <c r="E927" s="67" t="s">
        <v>555</v>
      </c>
      <c r="F927" s="67"/>
      <c r="G927" s="96">
        <f>SUM(G928)</f>
        <v>320.7</v>
      </c>
      <c r="H927" s="99">
        <f>SUM(H928)</f>
        <v>0</v>
      </c>
      <c r="I927" s="99">
        <f t="shared" si="81"/>
        <v>320.7</v>
      </c>
      <c r="J927" s="99">
        <f>SUM(J928)</f>
        <v>0</v>
      </c>
      <c r="K927" s="96">
        <f t="shared" si="88"/>
        <v>320.7</v>
      </c>
      <c r="L927" s="106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9.5" customHeight="1">
      <c r="A928" s="120" t="s">
        <v>438</v>
      </c>
      <c r="B928" s="78">
        <v>811</v>
      </c>
      <c r="C928" s="67" t="s">
        <v>27</v>
      </c>
      <c r="D928" s="67" t="s">
        <v>626</v>
      </c>
      <c r="E928" s="67" t="s">
        <v>555</v>
      </c>
      <c r="F928" s="67" t="s">
        <v>277</v>
      </c>
      <c r="G928" s="96">
        <v>320.7</v>
      </c>
      <c r="H928" s="104"/>
      <c r="I928" s="99">
        <f t="shared" si="81"/>
        <v>320.7</v>
      </c>
      <c r="J928" s="104"/>
      <c r="K928" s="96">
        <f t="shared" si="88"/>
        <v>320.7</v>
      </c>
      <c r="L928" s="106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34.5" customHeight="1" hidden="1">
      <c r="A929" s="120" t="s">
        <v>365</v>
      </c>
      <c r="B929" s="78">
        <v>811</v>
      </c>
      <c r="C929" s="67" t="s">
        <v>27</v>
      </c>
      <c r="D929" s="67" t="s">
        <v>626</v>
      </c>
      <c r="E929" s="67" t="s">
        <v>340</v>
      </c>
      <c r="F929" s="67"/>
      <c r="G929" s="96">
        <f>SUM(G930)</f>
        <v>0</v>
      </c>
      <c r="H929" s="104"/>
      <c r="I929" s="99">
        <f t="shared" si="81"/>
        <v>0</v>
      </c>
      <c r="J929" s="104"/>
      <c r="K929" s="96">
        <f t="shared" si="88"/>
        <v>0</v>
      </c>
      <c r="L929" s="106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8.75" customHeight="1" hidden="1">
      <c r="A930" s="135" t="s">
        <v>271</v>
      </c>
      <c r="B930" s="78">
        <v>811</v>
      </c>
      <c r="C930" s="67" t="s">
        <v>27</v>
      </c>
      <c r="D930" s="67" t="s">
        <v>626</v>
      </c>
      <c r="E930" s="67" t="s">
        <v>340</v>
      </c>
      <c r="F930" s="67" t="s">
        <v>49</v>
      </c>
      <c r="G930" s="96"/>
      <c r="H930" s="104"/>
      <c r="I930" s="99">
        <f t="shared" si="81"/>
        <v>0</v>
      </c>
      <c r="J930" s="104"/>
      <c r="K930" s="96">
        <f t="shared" si="88"/>
        <v>0</v>
      </c>
      <c r="L930" s="106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33" customHeight="1">
      <c r="A931" s="137" t="s">
        <v>165</v>
      </c>
      <c r="B931" s="78">
        <v>840</v>
      </c>
      <c r="C931" s="67"/>
      <c r="D931" s="67"/>
      <c r="E931" s="67"/>
      <c r="F931" s="67"/>
      <c r="G931" s="96">
        <f>SUM(G940)</f>
        <v>15767.199999999999</v>
      </c>
      <c r="H931" s="99">
        <f>SUM(H940)</f>
        <v>11.9</v>
      </c>
      <c r="I931" s="99">
        <f t="shared" si="81"/>
        <v>15779.099999999999</v>
      </c>
      <c r="J931" s="99">
        <f>SUM(J940,J933)</f>
        <v>835.1</v>
      </c>
      <c r="K931" s="96">
        <f t="shared" si="88"/>
        <v>16614.199999999997</v>
      </c>
      <c r="L931" s="106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8" customHeight="1">
      <c r="A932" s="120" t="s">
        <v>537</v>
      </c>
      <c r="B932" s="78">
        <v>840</v>
      </c>
      <c r="C932" s="67" t="s">
        <v>27</v>
      </c>
      <c r="D932" s="67"/>
      <c r="E932" s="67"/>
      <c r="F932" s="67"/>
      <c r="G932" s="96">
        <f>G933</f>
        <v>0</v>
      </c>
      <c r="H932" s="99">
        <f>H933</f>
        <v>0</v>
      </c>
      <c r="I932" s="99">
        <f t="shared" si="81"/>
        <v>0</v>
      </c>
      <c r="J932" s="99">
        <f>J933</f>
        <v>107.10000000000001</v>
      </c>
      <c r="K932" s="96">
        <f t="shared" si="88"/>
        <v>107.10000000000001</v>
      </c>
      <c r="L932" s="106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8" customHeight="1">
      <c r="A933" s="120" t="s">
        <v>855</v>
      </c>
      <c r="B933" s="78">
        <v>840</v>
      </c>
      <c r="C933" s="67" t="s">
        <v>27</v>
      </c>
      <c r="D933" s="67" t="s">
        <v>24</v>
      </c>
      <c r="E933" s="81"/>
      <c r="F933" s="81"/>
      <c r="G933" s="96">
        <f>G934+G937</f>
        <v>0</v>
      </c>
      <c r="H933" s="99">
        <f>H934+H937</f>
        <v>0</v>
      </c>
      <c r="I933" s="99">
        <f t="shared" si="81"/>
        <v>0</v>
      </c>
      <c r="J933" s="99">
        <f>J934+J937</f>
        <v>107.10000000000001</v>
      </c>
      <c r="K933" s="96">
        <f t="shared" si="88"/>
        <v>107.10000000000001</v>
      </c>
      <c r="L933" s="106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8" customHeight="1">
      <c r="A934" s="120" t="s">
        <v>857</v>
      </c>
      <c r="B934" s="78">
        <v>840</v>
      </c>
      <c r="C934" s="67" t="s">
        <v>27</v>
      </c>
      <c r="D934" s="67" t="s">
        <v>24</v>
      </c>
      <c r="E934" s="67" t="s">
        <v>856</v>
      </c>
      <c r="F934" s="81"/>
      <c r="G934" s="96">
        <f aca="true" t="shared" si="91" ref="G934:J935">G935</f>
        <v>0</v>
      </c>
      <c r="H934" s="99">
        <f t="shared" si="91"/>
        <v>0</v>
      </c>
      <c r="I934" s="99">
        <f t="shared" si="81"/>
        <v>0</v>
      </c>
      <c r="J934" s="99">
        <f t="shared" si="91"/>
        <v>101.7</v>
      </c>
      <c r="K934" s="96">
        <f t="shared" si="88"/>
        <v>101.7</v>
      </c>
      <c r="L934" s="106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39" customHeight="1">
      <c r="A935" s="124" t="s">
        <v>58</v>
      </c>
      <c r="B935" s="78">
        <v>840</v>
      </c>
      <c r="C935" s="67" t="s">
        <v>27</v>
      </c>
      <c r="D935" s="67" t="s">
        <v>24</v>
      </c>
      <c r="E935" s="67" t="s">
        <v>680</v>
      </c>
      <c r="F935" s="67"/>
      <c r="G935" s="96">
        <f t="shared" si="91"/>
        <v>0</v>
      </c>
      <c r="H935" s="99">
        <f t="shared" si="91"/>
        <v>0</v>
      </c>
      <c r="I935" s="99">
        <f aca="true" t="shared" si="92" ref="I935:I999">H935+G935</f>
        <v>0</v>
      </c>
      <c r="J935" s="99">
        <f t="shared" si="91"/>
        <v>101.7</v>
      </c>
      <c r="K935" s="96">
        <f t="shared" si="88"/>
        <v>101.7</v>
      </c>
      <c r="L935" s="106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8" customHeight="1">
      <c r="A936" s="124" t="s">
        <v>63</v>
      </c>
      <c r="B936" s="78">
        <v>840</v>
      </c>
      <c r="C936" s="67" t="s">
        <v>27</v>
      </c>
      <c r="D936" s="67" t="s">
        <v>24</v>
      </c>
      <c r="E936" s="67" t="s">
        <v>680</v>
      </c>
      <c r="F936" s="67" t="s">
        <v>660</v>
      </c>
      <c r="G936" s="96"/>
      <c r="H936" s="99"/>
      <c r="I936" s="99">
        <f t="shared" si="92"/>
        <v>0</v>
      </c>
      <c r="J936" s="99">
        <v>101.7</v>
      </c>
      <c r="K936" s="96">
        <f t="shared" si="88"/>
        <v>101.7</v>
      </c>
      <c r="L936" s="106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8" customHeight="1">
      <c r="A937" s="124" t="s">
        <v>367</v>
      </c>
      <c r="B937" s="78">
        <v>840</v>
      </c>
      <c r="C937" s="67" t="s">
        <v>27</v>
      </c>
      <c r="D937" s="67" t="s">
        <v>24</v>
      </c>
      <c r="E937" s="67" t="s">
        <v>471</v>
      </c>
      <c r="F937" s="67"/>
      <c r="G937" s="96">
        <f>G938</f>
        <v>0</v>
      </c>
      <c r="H937" s="99">
        <f>H938</f>
        <v>0</v>
      </c>
      <c r="I937" s="99">
        <f t="shared" si="92"/>
        <v>0</v>
      </c>
      <c r="J937" s="99">
        <f>J938</f>
        <v>5.4</v>
      </c>
      <c r="K937" s="96">
        <f t="shared" si="88"/>
        <v>5.4</v>
      </c>
      <c r="L937" s="106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48.75" customHeight="1">
      <c r="A938" s="124" t="s">
        <v>57</v>
      </c>
      <c r="B938" s="78">
        <v>840</v>
      </c>
      <c r="C938" s="67" t="s">
        <v>27</v>
      </c>
      <c r="D938" s="67" t="s">
        <v>24</v>
      </c>
      <c r="E938" s="67" t="s">
        <v>702</v>
      </c>
      <c r="F938" s="67"/>
      <c r="G938" s="96">
        <f>SUM(G939)</f>
        <v>0</v>
      </c>
      <c r="H938" s="99">
        <f>SUM(H939)</f>
        <v>0</v>
      </c>
      <c r="I938" s="99">
        <f t="shared" si="92"/>
        <v>0</v>
      </c>
      <c r="J938" s="99">
        <f>SUM(J939)</f>
        <v>5.4</v>
      </c>
      <c r="K938" s="96">
        <f t="shared" si="88"/>
        <v>5.4</v>
      </c>
      <c r="L938" s="106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8" customHeight="1">
      <c r="A939" s="124" t="s">
        <v>63</v>
      </c>
      <c r="B939" s="78">
        <v>840</v>
      </c>
      <c r="C939" s="67" t="s">
        <v>27</v>
      </c>
      <c r="D939" s="67" t="s">
        <v>24</v>
      </c>
      <c r="E939" s="67" t="s">
        <v>702</v>
      </c>
      <c r="F939" s="67" t="s">
        <v>660</v>
      </c>
      <c r="G939" s="96"/>
      <c r="H939" s="99"/>
      <c r="I939" s="99">
        <f t="shared" si="92"/>
        <v>0</v>
      </c>
      <c r="J939" s="99">
        <v>5.4</v>
      </c>
      <c r="K939" s="96">
        <f t="shared" si="88"/>
        <v>5.4</v>
      </c>
      <c r="L939" s="106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8.75" customHeight="1">
      <c r="A940" s="137" t="s">
        <v>267</v>
      </c>
      <c r="B940" s="78">
        <v>840</v>
      </c>
      <c r="C940" s="67" t="s">
        <v>28</v>
      </c>
      <c r="D940" s="67"/>
      <c r="E940" s="67"/>
      <c r="F940" s="67"/>
      <c r="G940" s="96">
        <f>SUM(G945,G941)</f>
        <v>15767.199999999999</v>
      </c>
      <c r="H940" s="99">
        <f>SUM(H945,H941)</f>
        <v>11.9</v>
      </c>
      <c r="I940" s="99">
        <f t="shared" si="92"/>
        <v>15779.099999999999</v>
      </c>
      <c r="J940" s="99">
        <f>SUM(J945,J941)</f>
        <v>728</v>
      </c>
      <c r="K940" s="96">
        <f t="shared" si="88"/>
        <v>16507.1</v>
      </c>
      <c r="L940" s="106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8.75" customHeight="1">
      <c r="A941" s="137" t="s">
        <v>258</v>
      </c>
      <c r="B941" s="78">
        <v>840</v>
      </c>
      <c r="C941" s="67" t="s">
        <v>28</v>
      </c>
      <c r="D941" s="67" t="s">
        <v>26</v>
      </c>
      <c r="E941" s="67"/>
      <c r="F941" s="67"/>
      <c r="G941" s="96">
        <f aca="true" t="shared" si="93" ref="G941:J943">G942</f>
        <v>2018.4</v>
      </c>
      <c r="H941" s="99">
        <f t="shared" si="93"/>
        <v>0</v>
      </c>
      <c r="I941" s="99">
        <f t="shared" si="92"/>
        <v>2018.4</v>
      </c>
      <c r="J941" s="99">
        <f t="shared" si="93"/>
        <v>0</v>
      </c>
      <c r="K941" s="96">
        <f t="shared" si="88"/>
        <v>2018.4</v>
      </c>
      <c r="L941" s="106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8.75" customHeight="1">
      <c r="A942" s="137" t="s">
        <v>79</v>
      </c>
      <c r="B942" s="78">
        <v>840</v>
      </c>
      <c r="C942" s="67" t="s">
        <v>28</v>
      </c>
      <c r="D942" s="67" t="s">
        <v>26</v>
      </c>
      <c r="E942" s="67" t="s">
        <v>80</v>
      </c>
      <c r="F942" s="67"/>
      <c r="G942" s="96">
        <f t="shared" si="93"/>
        <v>2018.4</v>
      </c>
      <c r="H942" s="99">
        <f t="shared" si="93"/>
        <v>0</v>
      </c>
      <c r="I942" s="99">
        <f t="shared" si="92"/>
        <v>2018.4</v>
      </c>
      <c r="J942" s="99">
        <f t="shared" si="93"/>
        <v>0</v>
      </c>
      <c r="K942" s="96">
        <f t="shared" si="88"/>
        <v>2018.4</v>
      </c>
      <c r="L942" s="106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36.75" customHeight="1">
      <c r="A943" s="137" t="s">
        <v>761</v>
      </c>
      <c r="B943" s="78">
        <v>840</v>
      </c>
      <c r="C943" s="67" t="s">
        <v>28</v>
      </c>
      <c r="D943" s="67" t="s">
        <v>26</v>
      </c>
      <c r="E943" s="67" t="s">
        <v>257</v>
      </c>
      <c r="F943" s="67"/>
      <c r="G943" s="96">
        <f t="shared" si="93"/>
        <v>2018.4</v>
      </c>
      <c r="H943" s="99">
        <f t="shared" si="93"/>
        <v>0</v>
      </c>
      <c r="I943" s="99">
        <f t="shared" si="92"/>
        <v>2018.4</v>
      </c>
      <c r="J943" s="99">
        <f t="shared" si="93"/>
        <v>0</v>
      </c>
      <c r="K943" s="96">
        <f t="shared" si="88"/>
        <v>2018.4</v>
      </c>
      <c r="L943" s="106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8.75" customHeight="1">
      <c r="A944" s="126" t="s">
        <v>223</v>
      </c>
      <c r="B944" s="78">
        <v>840</v>
      </c>
      <c r="C944" s="67" t="s">
        <v>28</v>
      </c>
      <c r="D944" s="67" t="s">
        <v>26</v>
      </c>
      <c r="E944" s="67" t="s">
        <v>257</v>
      </c>
      <c r="F944" s="67" t="s">
        <v>275</v>
      </c>
      <c r="G944" s="96">
        <v>2018.4</v>
      </c>
      <c r="H944" s="104"/>
      <c r="I944" s="99">
        <f t="shared" si="92"/>
        <v>2018.4</v>
      </c>
      <c r="J944" s="104"/>
      <c r="K944" s="96">
        <f t="shared" si="88"/>
        <v>2018.4</v>
      </c>
      <c r="L944" s="106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9.5" customHeight="1">
      <c r="A945" s="136" t="s">
        <v>203</v>
      </c>
      <c r="B945" s="78">
        <v>840</v>
      </c>
      <c r="C945" s="67" t="s">
        <v>28</v>
      </c>
      <c r="D945" s="67" t="s">
        <v>108</v>
      </c>
      <c r="E945" s="67"/>
      <c r="F945" s="67"/>
      <c r="G945" s="96">
        <f>SUM(G946,G949)</f>
        <v>13748.8</v>
      </c>
      <c r="H945" s="99">
        <f>SUM(H946,H949)</f>
        <v>11.9</v>
      </c>
      <c r="I945" s="99">
        <f t="shared" si="92"/>
        <v>13760.699999999999</v>
      </c>
      <c r="J945" s="99">
        <f>SUM(J946,J949)</f>
        <v>728</v>
      </c>
      <c r="K945" s="96">
        <f t="shared" si="88"/>
        <v>14488.699999999999</v>
      </c>
      <c r="L945" s="106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53.25" customHeight="1">
      <c r="A946" s="124" t="s">
        <v>93</v>
      </c>
      <c r="B946" s="78">
        <v>840</v>
      </c>
      <c r="C946" s="67" t="s">
        <v>28</v>
      </c>
      <c r="D946" s="67" t="s">
        <v>108</v>
      </c>
      <c r="E946" s="67" t="s">
        <v>94</v>
      </c>
      <c r="F946" s="67"/>
      <c r="G946" s="96">
        <f aca="true" t="shared" si="94" ref="G946:J947">SUM(G947)</f>
        <v>8443.8</v>
      </c>
      <c r="H946" s="99">
        <f t="shared" si="94"/>
        <v>11.9</v>
      </c>
      <c r="I946" s="99">
        <f t="shared" si="92"/>
        <v>8455.699999999999</v>
      </c>
      <c r="J946" s="99">
        <f t="shared" si="94"/>
        <v>728</v>
      </c>
      <c r="K946" s="96">
        <f t="shared" si="88"/>
        <v>9183.699999999999</v>
      </c>
      <c r="L946" s="106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8.75" customHeight="1">
      <c r="A947" s="124" t="s">
        <v>98</v>
      </c>
      <c r="B947" s="78">
        <v>840</v>
      </c>
      <c r="C947" s="67" t="s">
        <v>28</v>
      </c>
      <c r="D947" s="67" t="s">
        <v>108</v>
      </c>
      <c r="E947" s="67" t="s">
        <v>96</v>
      </c>
      <c r="F947" s="67"/>
      <c r="G947" s="96">
        <f t="shared" si="94"/>
        <v>8443.8</v>
      </c>
      <c r="H947" s="99">
        <f t="shared" si="94"/>
        <v>11.9</v>
      </c>
      <c r="I947" s="99">
        <f t="shared" si="92"/>
        <v>8455.699999999999</v>
      </c>
      <c r="J947" s="99">
        <f t="shared" si="94"/>
        <v>728</v>
      </c>
      <c r="K947" s="96">
        <f t="shared" si="88"/>
        <v>9183.699999999999</v>
      </c>
      <c r="L947" s="106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9.5" customHeight="1">
      <c r="A948" s="120" t="s">
        <v>438</v>
      </c>
      <c r="B948" s="78">
        <v>840</v>
      </c>
      <c r="C948" s="67" t="s">
        <v>28</v>
      </c>
      <c r="D948" s="67" t="s">
        <v>108</v>
      </c>
      <c r="E948" s="67" t="s">
        <v>96</v>
      </c>
      <c r="F948" s="67" t="s">
        <v>277</v>
      </c>
      <c r="G948" s="96">
        <f>8243.3+200.5</f>
        <v>8443.8</v>
      </c>
      <c r="H948" s="104">
        <v>11.9</v>
      </c>
      <c r="I948" s="99">
        <f t="shared" si="92"/>
        <v>8455.699999999999</v>
      </c>
      <c r="J948" s="104">
        <f>728</f>
        <v>728</v>
      </c>
      <c r="K948" s="96">
        <f t="shared" si="88"/>
        <v>9183.699999999999</v>
      </c>
      <c r="L948" s="106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9.5" customHeight="1">
      <c r="A949" s="146" t="s">
        <v>441</v>
      </c>
      <c r="B949" s="78">
        <v>840</v>
      </c>
      <c r="C949" s="67" t="s">
        <v>28</v>
      </c>
      <c r="D949" s="67" t="s">
        <v>108</v>
      </c>
      <c r="E949" s="67" t="s">
        <v>433</v>
      </c>
      <c r="F949" s="67"/>
      <c r="G949" s="96">
        <f>SUM(G951)</f>
        <v>5305</v>
      </c>
      <c r="H949" s="99">
        <f>SUM(H951)</f>
        <v>0</v>
      </c>
      <c r="I949" s="99">
        <f t="shared" si="92"/>
        <v>5305</v>
      </c>
      <c r="J949" s="99">
        <f>SUM(J951)</f>
        <v>0</v>
      </c>
      <c r="K949" s="96">
        <f t="shared" si="88"/>
        <v>5305</v>
      </c>
      <c r="L949" s="106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9.5" customHeight="1">
      <c r="A950" s="146" t="s">
        <v>470</v>
      </c>
      <c r="B950" s="78">
        <v>840</v>
      </c>
      <c r="C950" s="67" t="s">
        <v>28</v>
      </c>
      <c r="D950" s="67" t="s">
        <v>108</v>
      </c>
      <c r="E950" s="67" t="s">
        <v>434</v>
      </c>
      <c r="F950" s="67"/>
      <c r="G950" s="96">
        <f>G951</f>
        <v>5305</v>
      </c>
      <c r="H950" s="99">
        <f>H951</f>
        <v>0</v>
      </c>
      <c r="I950" s="99">
        <f t="shared" si="92"/>
        <v>5305</v>
      </c>
      <c r="J950" s="99">
        <f>J951</f>
        <v>0</v>
      </c>
      <c r="K950" s="96">
        <f t="shared" si="88"/>
        <v>5305</v>
      </c>
      <c r="L950" s="106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8" customHeight="1">
      <c r="A951" s="136" t="s">
        <v>12</v>
      </c>
      <c r="B951" s="78">
        <v>840</v>
      </c>
      <c r="C951" s="67" t="s">
        <v>28</v>
      </c>
      <c r="D951" s="67" t="s">
        <v>108</v>
      </c>
      <c r="E951" s="67" t="s">
        <v>442</v>
      </c>
      <c r="F951" s="67"/>
      <c r="G951" s="96">
        <f>SUM(G952)</f>
        <v>5305</v>
      </c>
      <c r="H951" s="99">
        <f>SUM(H952)</f>
        <v>0</v>
      </c>
      <c r="I951" s="99">
        <f t="shared" si="92"/>
        <v>5305</v>
      </c>
      <c r="J951" s="99">
        <f>SUM(J952,J953)</f>
        <v>0</v>
      </c>
      <c r="K951" s="96">
        <f t="shared" si="88"/>
        <v>5305</v>
      </c>
      <c r="L951" s="106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20.25" customHeight="1">
      <c r="A952" s="120" t="s">
        <v>621</v>
      </c>
      <c r="B952" s="78">
        <v>840</v>
      </c>
      <c r="C952" s="67" t="s">
        <v>28</v>
      </c>
      <c r="D952" s="67" t="s">
        <v>108</v>
      </c>
      <c r="E952" s="67" t="s">
        <v>442</v>
      </c>
      <c r="F952" s="67" t="s">
        <v>568</v>
      </c>
      <c r="G952" s="96">
        <v>5305</v>
      </c>
      <c r="H952" s="104"/>
      <c r="I952" s="99">
        <f t="shared" si="92"/>
        <v>5305</v>
      </c>
      <c r="J952" s="104"/>
      <c r="K952" s="96">
        <f t="shared" si="88"/>
        <v>5305</v>
      </c>
      <c r="L952" s="106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20.25" customHeight="1" hidden="1">
      <c r="A953" s="146" t="s">
        <v>392</v>
      </c>
      <c r="B953" s="78">
        <v>840</v>
      </c>
      <c r="C953" s="67" t="s">
        <v>28</v>
      </c>
      <c r="D953" s="67" t="s">
        <v>108</v>
      </c>
      <c r="E953" s="67" t="s">
        <v>442</v>
      </c>
      <c r="F953" s="67" t="s">
        <v>334</v>
      </c>
      <c r="G953" s="96"/>
      <c r="H953" s="104"/>
      <c r="I953" s="99"/>
      <c r="J953" s="104"/>
      <c r="K953" s="96">
        <f t="shared" si="88"/>
        <v>0</v>
      </c>
      <c r="L953" s="106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20.25" customHeight="1" hidden="1">
      <c r="A954" s="136" t="s">
        <v>454</v>
      </c>
      <c r="B954" s="78">
        <v>840</v>
      </c>
      <c r="C954" s="67" t="s">
        <v>625</v>
      </c>
      <c r="D954" s="67"/>
      <c r="E954" s="67"/>
      <c r="F954" s="67"/>
      <c r="G954" s="96">
        <f>G955</f>
        <v>0</v>
      </c>
      <c r="H954" s="104"/>
      <c r="I954" s="99">
        <f t="shared" si="92"/>
        <v>0</v>
      </c>
      <c r="J954" s="104"/>
      <c r="K954" s="96">
        <f t="shared" si="88"/>
        <v>0</v>
      </c>
      <c r="L954" s="106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20.25" customHeight="1" hidden="1">
      <c r="A955" s="136" t="s">
        <v>307</v>
      </c>
      <c r="B955" s="78">
        <v>840</v>
      </c>
      <c r="C955" s="67" t="s">
        <v>625</v>
      </c>
      <c r="D955" s="67" t="s">
        <v>625</v>
      </c>
      <c r="E955" s="67"/>
      <c r="F955" s="67"/>
      <c r="G955" s="96">
        <f>G956</f>
        <v>0</v>
      </c>
      <c r="H955" s="104"/>
      <c r="I955" s="99">
        <f t="shared" si="92"/>
        <v>0</v>
      </c>
      <c r="J955" s="104"/>
      <c r="K955" s="96">
        <f t="shared" si="88"/>
        <v>0</v>
      </c>
      <c r="L955" s="106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20.25" customHeight="1" hidden="1">
      <c r="A956" s="124" t="s">
        <v>286</v>
      </c>
      <c r="B956" s="78">
        <v>840</v>
      </c>
      <c r="C956" s="67" t="s">
        <v>625</v>
      </c>
      <c r="D956" s="67" t="s">
        <v>625</v>
      </c>
      <c r="E956" s="67" t="s">
        <v>591</v>
      </c>
      <c r="F956" s="67"/>
      <c r="G956" s="96">
        <f>G957</f>
        <v>0</v>
      </c>
      <c r="H956" s="104"/>
      <c r="I956" s="99">
        <f t="shared" si="92"/>
        <v>0</v>
      </c>
      <c r="J956" s="104"/>
      <c r="K956" s="96">
        <f t="shared" si="88"/>
        <v>0</v>
      </c>
      <c r="L956" s="106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20.25" customHeight="1" hidden="1">
      <c r="A957" s="146" t="s">
        <v>393</v>
      </c>
      <c r="B957" s="78">
        <v>840</v>
      </c>
      <c r="C957" s="67" t="s">
        <v>625</v>
      </c>
      <c r="D957" s="67" t="s">
        <v>625</v>
      </c>
      <c r="E957" s="67" t="s">
        <v>633</v>
      </c>
      <c r="F957" s="67"/>
      <c r="G957" s="96">
        <f>G958</f>
        <v>0</v>
      </c>
      <c r="H957" s="104"/>
      <c r="I957" s="99">
        <f t="shared" si="92"/>
        <v>0</v>
      </c>
      <c r="J957" s="104"/>
      <c r="K957" s="96">
        <f t="shared" si="88"/>
        <v>0</v>
      </c>
      <c r="L957" s="106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20.25" customHeight="1" hidden="1">
      <c r="A958" s="136" t="s">
        <v>653</v>
      </c>
      <c r="B958" s="78">
        <v>840</v>
      </c>
      <c r="C958" s="67" t="s">
        <v>625</v>
      </c>
      <c r="D958" s="67" t="s">
        <v>625</v>
      </c>
      <c r="E958" s="67" t="s">
        <v>633</v>
      </c>
      <c r="F958" s="67" t="s">
        <v>652</v>
      </c>
      <c r="G958" s="96"/>
      <c r="H958" s="104"/>
      <c r="I958" s="99">
        <f t="shared" si="92"/>
        <v>0</v>
      </c>
      <c r="J958" s="104"/>
      <c r="K958" s="96">
        <f t="shared" si="88"/>
        <v>0</v>
      </c>
      <c r="L958" s="106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35.25" customHeight="1">
      <c r="A959" s="137" t="s">
        <v>166</v>
      </c>
      <c r="B959" s="78">
        <v>841</v>
      </c>
      <c r="C959" s="67"/>
      <c r="D959" s="67"/>
      <c r="E959" s="67"/>
      <c r="F959" s="67"/>
      <c r="G959" s="96">
        <f>SUM(G960,G970,G1045,)</f>
        <v>912981.5000000001</v>
      </c>
      <c r="H959" s="99">
        <f>SUM(H960,H970,H1045,)</f>
        <v>-79675.7</v>
      </c>
      <c r="I959" s="99">
        <f t="shared" si="92"/>
        <v>833305.8000000002</v>
      </c>
      <c r="J959" s="99">
        <f>SUM(J960,J970,J1045,)</f>
        <v>126929.9</v>
      </c>
      <c r="K959" s="96">
        <f t="shared" si="88"/>
        <v>960235.7000000002</v>
      </c>
      <c r="L959" s="106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6.5">
      <c r="A960" s="124" t="s">
        <v>537</v>
      </c>
      <c r="B960" s="78">
        <v>841</v>
      </c>
      <c r="C960" s="67" t="s">
        <v>27</v>
      </c>
      <c r="D960" s="67"/>
      <c r="E960" s="67"/>
      <c r="F960" s="67"/>
      <c r="G960" s="96">
        <f aca="true" t="shared" si="95" ref="G960:J963">SUM(G961)</f>
        <v>16595.9</v>
      </c>
      <c r="H960" s="99">
        <f t="shared" si="95"/>
        <v>4.9</v>
      </c>
      <c r="I960" s="99">
        <f t="shared" si="92"/>
        <v>16600.800000000003</v>
      </c>
      <c r="J960" s="99">
        <f t="shared" si="95"/>
        <v>2110</v>
      </c>
      <c r="K960" s="96">
        <f t="shared" si="88"/>
        <v>18710.800000000003</v>
      </c>
      <c r="L960" s="106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8" customHeight="1">
      <c r="A961" s="136" t="s">
        <v>110</v>
      </c>
      <c r="B961" s="78">
        <v>841</v>
      </c>
      <c r="C961" s="67" t="s">
        <v>27</v>
      </c>
      <c r="D961" s="67" t="s">
        <v>626</v>
      </c>
      <c r="E961" s="67"/>
      <c r="F961" s="67"/>
      <c r="G961" s="96">
        <f t="shared" si="95"/>
        <v>16595.9</v>
      </c>
      <c r="H961" s="99">
        <f t="shared" si="95"/>
        <v>4.9</v>
      </c>
      <c r="I961" s="99">
        <f t="shared" si="92"/>
        <v>16600.800000000003</v>
      </c>
      <c r="J961" s="99">
        <f t="shared" si="95"/>
        <v>2110</v>
      </c>
      <c r="K961" s="96">
        <f t="shared" si="88"/>
        <v>18710.800000000003</v>
      </c>
      <c r="L961" s="106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53.25" customHeight="1">
      <c r="A962" s="124" t="s">
        <v>93</v>
      </c>
      <c r="B962" s="78">
        <v>841</v>
      </c>
      <c r="C962" s="67" t="s">
        <v>27</v>
      </c>
      <c r="D962" s="67" t="s">
        <v>626</v>
      </c>
      <c r="E962" s="67" t="s">
        <v>94</v>
      </c>
      <c r="F962" s="67"/>
      <c r="G962" s="96">
        <f t="shared" si="95"/>
        <v>16595.9</v>
      </c>
      <c r="H962" s="99">
        <f t="shared" si="95"/>
        <v>4.9</v>
      </c>
      <c r="I962" s="99">
        <f t="shared" si="92"/>
        <v>16600.800000000003</v>
      </c>
      <c r="J962" s="99">
        <f t="shared" si="95"/>
        <v>2110</v>
      </c>
      <c r="K962" s="96">
        <f t="shared" si="88"/>
        <v>18710.800000000003</v>
      </c>
      <c r="L962" s="106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6.5">
      <c r="A963" s="124" t="s">
        <v>98</v>
      </c>
      <c r="B963" s="78">
        <v>841</v>
      </c>
      <c r="C963" s="67" t="s">
        <v>27</v>
      </c>
      <c r="D963" s="67" t="s">
        <v>626</v>
      </c>
      <c r="E963" s="67" t="s">
        <v>96</v>
      </c>
      <c r="F963" s="67"/>
      <c r="G963" s="96">
        <f t="shared" si="95"/>
        <v>16595.9</v>
      </c>
      <c r="H963" s="99">
        <f t="shared" si="95"/>
        <v>4.9</v>
      </c>
      <c r="I963" s="99">
        <f t="shared" si="92"/>
        <v>16600.800000000003</v>
      </c>
      <c r="J963" s="99">
        <f t="shared" si="95"/>
        <v>2110</v>
      </c>
      <c r="K963" s="96">
        <f t="shared" si="88"/>
        <v>18710.800000000003</v>
      </c>
      <c r="L963" s="106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9.5" customHeight="1">
      <c r="A964" s="120" t="s">
        <v>438</v>
      </c>
      <c r="B964" s="78">
        <v>841</v>
      </c>
      <c r="C964" s="67" t="s">
        <v>27</v>
      </c>
      <c r="D964" s="67" t="s">
        <v>626</v>
      </c>
      <c r="E964" s="67" t="s">
        <v>96</v>
      </c>
      <c r="F964" s="67" t="s">
        <v>277</v>
      </c>
      <c r="G964" s="96">
        <f>16470.4+125.5</f>
        <v>16595.9</v>
      </c>
      <c r="H964" s="104">
        <v>4.9</v>
      </c>
      <c r="I964" s="99">
        <f t="shared" si="92"/>
        <v>16600.800000000003</v>
      </c>
      <c r="J964" s="104">
        <f>1410+700</f>
        <v>2110</v>
      </c>
      <c r="K964" s="96">
        <f t="shared" si="88"/>
        <v>18710.800000000003</v>
      </c>
      <c r="L964" s="106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9.5" customHeight="1" hidden="1">
      <c r="A965" s="136" t="s">
        <v>454</v>
      </c>
      <c r="B965" s="78">
        <v>841</v>
      </c>
      <c r="C965" s="67" t="s">
        <v>625</v>
      </c>
      <c r="D965" s="67"/>
      <c r="E965" s="67"/>
      <c r="F965" s="67"/>
      <c r="G965" s="96">
        <f>G966</f>
        <v>0</v>
      </c>
      <c r="H965" s="104"/>
      <c r="I965" s="99">
        <f t="shared" si="92"/>
        <v>0</v>
      </c>
      <c r="J965" s="104"/>
      <c r="K965" s="96">
        <f t="shared" si="88"/>
        <v>0</v>
      </c>
      <c r="L965" s="106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9.5" customHeight="1" hidden="1">
      <c r="A966" s="136" t="s">
        <v>307</v>
      </c>
      <c r="B966" s="78">
        <v>841</v>
      </c>
      <c r="C966" s="67" t="s">
        <v>625</v>
      </c>
      <c r="D966" s="67" t="s">
        <v>625</v>
      </c>
      <c r="E966" s="67"/>
      <c r="F966" s="67"/>
      <c r="G966" s="96">
        <f>G967</f>
        <v>0</v>
      </c>
      <c r="H966" s="104"/>
      <c r="I966" s="99">
        <f t="shared" si="92"/>
        <v>0</v>
      </c>
      <c r="J966" s="104"/>
      <c r="K966" s="96">
        <f t="shared" si="88"/>
        <v>0</v>
      </c>
      <c r="L966" s="106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9.5" customHeight="1" hidden="1">
      <c r="A967" s="124" t="s">
        <v>286</v>
      </c>
      <c r="B967" s="78">
        <v>841</v>
      </c>
      <c r="C967" s="67" t="s">
        <v>625</v>
      </c>
      <c r="D967" s="67" t="s">
        <v>625</v>
      </c>
      <c r="E967" s="67" t="s">
        <v>591</v>
      </c>
      <c r="F967" s="67"/>
      <c r="G967" s="96">
        <f>G968</f>
        <v>0</v>
      </c>
      <c r="H967" s="104"/>
      <c r="I967" s="99">
        <f t="shared" si="92"/>
        <v>0</v>
      </c>
      <c r="J967" s="104"/>
      <c r="K967" s="96">
        <f t="shared" si="88"/>
        <v>0</v>
      </c>
      <c r="L967" s="106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9.5" customHeight="1" hidden="1">
      <c r="A968" s="146" t="s">
        <v>393</v>
      </c>
      <c r="B968" s="78">
        <v>841</v>
      </c>
      <c r="C968" s="67" t="s">
        <v>625</v>
      </c>
      <c r="D968" s="67" t="s">
        <v>625</v>
      </c>
      <c r="E968" s="67" t="s">
        <v>633</v>
      </c>
      <c r="F968" s="67"/>
      <c r="G968" s="96">
        <f>G969</f>
        <v>0</v>
      </c>
      <c r="H968" s="104"/>
      <c r="I968" s="99">
        <f t="shared" si="92"/>
        <v>0</v>
      </c>
      <c r="J968" s="104"/>
      <c r="K968" s="96">
        <f t="shared" si="88"/>
        <v>0</v>
      </c>
      <c r="L968" s="106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9.5" customHeight="1" hidden="1">
      <c r="A969" s="136" t="s">
        <v>653</v>
      </c>
      <c r="B969" s="78">
        <v>841</v>
      </c>
      <c r="C969" s="67" t="s">
        <v>625</v>
      </c>
      <c r="D969" s="67" t="s">
        <v>625</v>
      </c>
      <c r="E969" s="67" t="s">
        <v>633</v>
      </c>
      <c r="F969" s="67" t="s">
        <v>652</v>
      </c>
      <c r="G969" s="96"/>
      <c r="H969" s="104"/>
      <c r="I969" s="99">
        <f t="shared" si="92"/>
        <v>0</v>
      </c>
      <c r="J969" s="104"/>
      <c r="K969" s="96">
        <f t="shared" si="88"/>
        <v>0</v>
      </c>
      <c r="L969" s="106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8" customHeight="1">
      <c r="A970" s="137" t="s">
        <v>167</v>
      </c>
      <c r="B970" s="78">
        <v>841</v>
      </c>
      <c r="C970" s="85"/>
      <c r="D970" s="85"/>
      <c r="E970" s="85"/>
      <c r="F970" s="85"/>
      <c r="G970" s="96">
        <f>SUM(G971,G984,G1000,G1027,G1032,G989)</f>
        <v>175552.5</v>
      </c>
      <c r="H970" s="99">
        <f>SUM(H971,H984,H1000,H1027,H1032,H989)</f>
        <v>-34937.799999999996</v>
      </c>
      <c r="I970" s="99">
        <f t="shared" si="92"/>
        <v>140614.7</v>
      </c>
      <c r="J970" s="99">
        <f>SUM(J971,J984,J1000,J1027,J1032,J989)</f>
        <v>42614.9</v>
      </c>
      <c r="K970" s="96">
        <f t="shared" si="88"/>
        <v>183229.6</v>
      </c>
      <c r="L970" s="106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8" customHeight="1">
      <c r="A971" s="149" t="s">
        <v>65</v>
      </c>
      <c r="B971" s="78">
        <v>841</v>
      </c>
      <c r="C971" s="67" t="s">
        <v>24</v>
      </c>
      <c r="D971" s="85"/>
      <c r="E971" s="85"/>
      <c r="F971" s="85"/>
      <c r="G971" s="96">
        <f>G972</f>
        <v>2200</v>
      </c>
      <c r="H971" s="99">
        <f>H972</f>
        <v>2789.4</v>
      </c>
      <c r="I971" s="99">
        <f t="shared" si="92"/>
        <v>4989.4</v>
      </c>
      <c r="J971" s="99">
        <f>J972</f>
        <v>8376</v>
      </c>
      <c r="K971" s="96">
        <f t="shared" si="88"/>
        <v>13365.4</v>
      </c>
      <c r="L971" s="106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8" customHeight="1">
      <c r="A972" s="136" t="s">
        <v>397</v>
      </c>
      <c r="B972" s="78">
        <v>841</v>
      </c>
      <c r="C972" s="67" t="s">
        <v>24</v>
      </c>
      <c r="D972" s="67" t="s">
        <v>606</v>
      </c>
      <c r="E972" s="67"/>
      <c r="F972" s="67"/>
      <c r="G972" s="96">
        <f>G973+G978</f>
        <v>2200</v>
      </c>
      <c r="H972" s="99">
        <f>H973+H978+H976</f>
        <v>2789.4</v>
      </c>
      <c r="I972" s="99">
        <f t="shared" si="92"/>
        <v>4989.4</v>
      </c>
      <c r="J972" s="99">
        <f>J973+J978+J976</f>
        <v>8376</v>
      </c>
      <c r="K972" s="96">
        <f t="shared" si="88"/>
        <v>13365.4</v>
      </c>
      <c r="L972" s="106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8" customHeight="1" hidden="1">
      <c r="A973" s="146" t="s">
        <v>70</v>
      </c>
      <c r="B973" s="78">
        <v>841</v>
      </c>
      <c r="C973" s="67" t="s">
        <v>24</v>
      </c>
      <c r="D973" s="67" t="s">
        <v>606</v>
      </c>
      <c r="E973" s="67" t="s">
        <v>432</v>
      </c>
      <c r="F973" s="67"/>
      <c r="G973" s="96">
        <f aca="true" t="shared" si="96" ref="G973:J974">G974</f>
        <v>0</v>
      </c>
      <c r="H973" s="99">
        <f t="shared" si="96"/>
        <v>0</v>
      </c>
      <c r="I973" s="99">
        <f t="shared" si="92"/>
        <v>0</v>
      </c>
      <c r="J973" s="99">
        <f t="shared" si="96"/>
        <v>0</v>
      </c>
      <c r="K973" s="96">
        <f t="shared" si="88"/>
        <v>0</v>
      </c>
      <c r="L973" s="106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8" customHeight="1" hidden="1">
      <c r="A974" s="124" t="s">
        <v>71</v>
      </c>
      <c r="B974" s="78">
        <v>841</v>
      </c>
      <c r="C974" s="67" t="s">
        <v>24</v>
      </c>
      <c r="D974" s="67" t="s">
        <v>606</v>
      </c>
      <c r="E974" s="67" t="s">
        <v>490</v>
      </c>
      <c r="F974" s="67"/>
      <c r="G974" s="96">
        <f t="shared" si="96"/>
        <v>0</v>
      </c>
      <c r="H974" s="99">
        <f t="shared" si="96"/>
        <v>0</v>
      </c>
      <c r="I974" s="99">
        <f t="shared" si="92"/>
        <v>0</v>
      </c>
      <c r="J974" s="99">
        <f t="shared" si="96"/>
        <v>0</v>
      </c>
      <c r="K974" s="96">
        <f t="shared" si="88"/>
        <v>0</v>
      </c>
      <c r="L974" s="106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8" customHeight="1" hidden="1">
      <c r="A975" s="120" t="s">
        <v>438</v>
      </c>
      <c r="B975" s="78">
        <v>841</v>
      </c>
      <c r="C975" s="67" t="s">
        <v>24</v>
      </c>
      <c r="D975" s="67" t="s">
        <v>606</v>
      </c>
      <c r="E975" s="67" t="s">
        <v>490</v>
      </c>
      <c r="F975" s="67" t="s">
        <v>277</v>
      </c>
      <c r="G975" s="96"/>
      <c r="H975" s="99"/>
      <c r="I975" s="99">
        <f t="shared" si="92"/>
        <v>0</v>
      </c>
      <c r="J975" s="99"/>
      <c r="K975" s="96">
        <f t="shared" si="88"/>
        <v>0</v>
      </c>
      <c r="L975" s="106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8" customHeight="1">
      <c r="A976" s="134" t="s">
        <v>71</v>
      </c>
      <c r="B976" s="78">
        <v>841</v>
      </c>
      <c r="C976" s="67" t="s">
        <v>24</v>
      </c>
      <c r="D976" s="67" t="s">
        <v>606</v>
      </c>
      <c r="E976" s="67" t="s">
        <v>490</v>
      </c>
      <c r="F976" s="67"/>
      <c r="G976" s="96"/>
      <c r="H976" s="99">
        <f>H977</f>
        <v>2789.4</v>
      </c>
      <c r="I976" s="99">
        <f t="shared" si="92"/>
        <v>2789.4</v>
      </c>
      <c r="J976" s="99">
        <f>J977</f>
        <v>7976</v>
      </c>
      <c r="K976" s="96">
        <f t="shared" si="88"/>
        <v>10765.4</v>
      </c>
      <c r="L976" s="106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8" customHeight="1">
      <c r="A977" s="124" t="s">
        <v>438</v>
      </c>
      <c r="B977" s="78">
        <v>841</v>
      </c>
      <c r="C977" s="67" t="s">
        <v>24</v>
      </c>
      <c r="D977" s="67" t="s">
        <v>606</v>
      </c>
      <c r="E977" s="67" t="s">
        <v>490</v>
      </c>
      <c r="F977" s="67" t="s">
        <v>277</v>
      </c>
      <c r="G977" s="96"/>
      <c r="H977" s="99">
        <f>320+350+2119.4</f>
        <v>2789.4</v>
      </c>
      <c r="I977" s="99">
        <f t="shared" si="92"/>
        <v>2789.4</v>
      </c>
      <c r="J977" s="99">
        <f>850+350+776+6000</f>
        <v>7976</v>
      </c>
      <c r="K977" s="96">
        <f t="shared" si="88"/>
        <v>10765.4</v>
      </c>
      <c r="L977" s="106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33.75" customHeight="1">
      <c r="A978" s="123" t="s">
        <v>637</v>
      </c>
      <c r="B978" s="78">
        <v>841</v>
      </c>
      <c r="C978" s="67" t="s">
        <v>24</v>
      </c>
      <c r="D978" s="67" t="s">
        <v>606</v>
      </c>
      <c r="E978" s="80" t="s">
        <v>230</v>
      </c>
      <c r="F978" s="67"/>
      <c r="G978" s="96">
        <f aca="true" t="shared" si="97" ref="G978:J979">G979</f>
        <v>2200</v>
      </c>
      <c r="H978" s="99">
        <f t="shared" si="97"/>
        <v>0</v>
      </c>
      <c r="I978" s="99">
        <f t="shared" si="92"/>
        <v>2200</v>
      </c>
      <c r="J978" s="99">
        <f t="shared" si="97"/>
        <v>400</v>
      </c>
      <c r="K978" s="96">
        <f aca="true" t="shared" si="98" ref="K978:K1041">I978+J978</f>
        <v>2600</v>
      </c>
      <c r="L978" s="106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8" customHeight="1">
      <c r="A979" s="136" t="s">
        <v>655</v>
      </c>
      <c r="B979" s="78">
        <v>841</v>
      </c>
      <c r="C979" s="67" t="s">
        <v>24</v>
      </c>
      <c r="D979" s="67" t="s">
        <v>606</v>
      </c>
      <c r="E979" s="67" t="s">
        <v>231</v>
      </c>
      <c r="F979" s="67"/>
      <c r="G979" s="96">
        <f t="shared" si="97"/>
        <v>2200</v>
      </c>
      <c r="H979" s="99">
        <f t="shared" si="97"/>
        <v>0</v>
      </c>
      <c r="I979" s="99">
        <f t="shared" si="92"/>
        <v>2200</v>
      </c>
      <c r="J979" s="99">
        <f t="shared" si="97"/>
        <v>400</v>
      </c>
      <c r="K979" s="96">
        <f t="shared" si="98"/>
        <v>2600</v>
      </c>
      <c r="L979" s="106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8" customHeight="1">
      <c r="A980" s="124" t="s">
        <v>63</v>
      </c>
      <c r="B980" s="78">
        <v>841</v>
      </c>
      <c r="C980" s="67" t="s">
        <v>24</v>
      </c>
      <c r="D980" s="67" t="s">
        <v>606</v>
      </c>
      <c r="E980" s="67" t="s">
        <v>231</v>
      </c>
      <c r="F980" s="67" t="s">
        <v>660</v>
      </c>
      <c r="G980" s="96">
        <v>2200</v>
      </c>
      <c r="H980" s="104"/>
      <c r="I980" s="99">
        <f t="shared" si="92"/>
        <v>2200</v>
      </c>
      <c r="J980" s="104">
        <v>400</v>
      </c>
      <c r="K980" s="96">
        <f t="shared" si="98"/>
        <v>2600</v>
      </c>
      <c r="L980" s="106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8" customHeight="1" hidden="1">
      <c r="A981" s="120" t="s">
        <v>367</v>
      </c>
      <c r="B981" s="78">
        <v>841</v>
      </c>
      <c r="C981" s="67" t="s">
        <v>24</v>
      </c>
      <c r="D981" s="67" t="s">
        <v>606</v>
      </c>
      <c r="E981" s="67" t="s">
        <v>471</v>
      </c>
      <c r="F981" s="67"/>
      <c r="G981" s="96">
        <f>SUM(G982)</f>
        <v>0</v>
      </c>
      <c r="H981" s="104"/>
      <c r="I981" s="99">
        <f t="shared" si="92"/>
        <v>0</v>
      </c>
      <c r="J981" s="104"/>
      <c r="K981" s="96">
        <f t="shared" si="98"/>
        <v>0</v>
      </c>
      <c r="L981" s="106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33.75" customHeight="1" hidden="1">
      <c r="A982" s="136" t="s">
        <v>300</v>
      </c>
      <c r="B982" s="78">
        <v>841</v>
      </c>
      <c r="C982" s="67" t="s">
        <v>24</v>
      </c>
      <c r="D982" s="67" t="s">
        <v>606</v>
      </c>
      <c r="E982" s="67" t="s">
        <v>288</v>
      </c>
      <c r="F982" s="67"/>
      <c r="G982" s="96">
        <f>SUM(G983)</f>
        <v>0</v>
      </c>
      <c r="H982" s="104"/>
      <c r="I982" s="99">
        <f t="shared" si="92"/>
        <v>0</v>
      </c>
      <c r="J982" s="104"/>
      <c r="K982" s="96">
        <f t="shared" si="98"/>
        <v>0</v>
      </c>
      <c r="L982" s="106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8" customHeight="1" hidden="1">
      <c r="A983" s="120" t="s">
        <v>69</v>
      </c>
      <c r="B983" s="78">
        <v>841</v>
      </c>
      <c r="C983" s="67" t="s">
        <v>24</v>
      </c>
      <c r="D983" s="67" t="s">
        <v>606</v>
      </c>
      <c r="E983" s="67" t="s">
        <v>288</v>
      </c>
      <c r="F983" s="67" t="s">
        <v>121</v>
      </c>
      <c r="G983" s="96"/>
      <c r="H983" s="104"/>
      <c r="I983" s="99">
        <f t="shared" si="92"/>
        <v>0</v>
      </c>
      <c r="J983" s="104"/>
      <c r="K983" s="96">
        <f t="shared" si="98"/>
        <v>0</v>
      </c>
      <c r="L983" s="106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8" customHeight="1">
      <c r="A984" s="136" t="s">
        <v>398</v>
      </c>
      <c r="B984" s="78">
        <v>841</v>
      </c>
      <c r="C984" s="67" t="s">
        <v>26</v>
      </c>
      <c r="D984" s="67"/>
      <c r="E984" s="67"/>
      <c r="F984" s="67"/>
      <c r="G984" s="96">
        <f>SUM(G985,)</f>
        <v>800</v>
      </c>
      <c r="H984" s="99">
        <f>SUM(H985,)</f>
        <v>0</v>
      </c>
      <c r="I984" s="99">
        <f t="shared" si="92"/>
        <v>800</v>
      </c>
      <c r="J984" s="99">
        <f>SUM(J985,)</f>
        <v>200</v>
      </c>
      <c r="K984" s="96">
        <f t="shared" si="98"/>
        <v>1000</v>
      </c>
      <c r="L984" s="106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36.75" customHeight="1">
      <c r="A985" s="136" t="s">
        <v>196</v>
      </c>
      <c r="B985" s="78">
        <v>841</v>
      </c>
      <c r="C985" s="67" t="s">
        <v>26</v>
      </c>
      <c r="D985" s="67" t="s">
        <v>106</v>
      </c>
      <c r="E985" s="67"/>
      <c r="F985" s="67"/>
      <c r="G985" s="96">
        <f aca="true" t="shared" si="99" ref="G985:J987">SUM(G986)</f>
        <v>800</v>
      </c>
      <c r="H985" s="99">
        <f t="shared" si="99"/>
        <v>0</v>
      </c>
      <c r="I985" s="99">
        <f t="shared" si="92"/>
        <v>800</v>
      </c>
      <c r="J985" s="99">
        <f t="shared" si="99"/>
        <v>200</v>
      </c>
      <c r="K985" s="96">
        <f t="shared" si="98"/>
        <v>1000</v>
      </c>
      <c r="L985" s="106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8" customHeight="1">
      <c r="A986" s="136" t="s">
        <v>476</v>
      </c>
      <c r="B986" s="78">
        <v>841</v>
      </c>
      <c r="C986" s="67" t="s">
        <v>26</v>
      </c>
      <c r="D986" s="67" t="s">
        <v>106</v>
      </c>
      <c r="E986" s="67" t="s">
        <v>478</v>
      </c>
      <c r="F986" s="67"/>
      <c r="G986" s="96">
        <f t="shared" si="99"/>
        <v>800</v>
      </c>
      <c r="H986" s="99">
        <f t="shared" si="99"/>
        <v>0</v>
      </c>
      <c r="I986" s="99">
        <f t="shared" si="92"/>
        <v>800</v>
      </c>
      <c r="J986" s="99">
        <f t="shared" si="99"/>
        <v>200</v>
      </c>
      <c r="K986" s="96">
        <f t="shared" si="98"/>
        <v>1000</v>
      </c>
      <c r="L986" s="106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8" customHeight="1">
      <c r="A987" s="136" t="s">
        <v>480</v>
      </c>
      <c r="B987" s="78">
        <v>841</v>
      </c>
      <c r="C987" s="67" t="s">
        <v>26</v>
      </c>
      <c r="D987" s="67" t="s">
        <v>106</v>
      </c>
      <c r="E987" s="67" t="s">
        <v>477</v>
      </c>
      <c r="F987" s="67"/>
      <c r="G987" s="96">
        <f t="shared" si="99"/>
        <v>800</v>
      </c>
      <c r="H987" s="99">
        <f t="shared" si="99"/>
        <v>0</v>
      </c>
      <c r="I987" s="99">
        <f t="shared" si="92"/>
        <v>800</v>
      </c>
      <c r="J987" s="99">
        <f t="shared" si="99"/>
        <v>200</v>
      </c>
      <c r="K987" s="96">
        <f t="shared" si="98"/>
        <v>1000</v>
      </c>
      <c r="L987" s="106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8" customHeight="1">
      <c r="A988" s="124" t="s">
        <v>63</v>
      </c>
      <c r="B988" s="78">
        <v>841</v>
      </c>
      <c r="C988" s="67" t="s">
        <v>26</v>
      </c>
      <c r="D988" s="67" t="s">
        <v>106</v>
      </c>
      <c r="E988" s="67" t="s">
        <v>477</v>
      </c>
      <c r="F988" s="67" t="s">
        <v>660</v>
      </c>
      <c r="G988" s="96">
        <v>800</v>
      </c>
      <c r="H988" s="104"/>
      <c r="I988" s="99">
        <f t="shared" si="92"/>
        <v>800</v>
      </c>
      <c r="J988" s="104">
        <v>200</v>
      </c>
      <c r="K988" s="96">
        <f t="shared" si="98"/>
        <v>1000</v>
      </c>
      <c r="L988" s="106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21" customHeight="1">
      <c r="A989" s="135" t="s">
        <v>481</v>
      </c>
      <c r="B989" s="78">
        <v>841</v>
      </c>
      <c r="C989" s="67" t="s">
        <v>108</v>
      </c>
      <c r="D989" s="67"/>
      <c r="E989" s="67"/>
      <c r="F989" s="67"/>
      <c r="G989" s="96">
        <f>G994+G990</f>
        <v>69052</v>
      </c>
      <c r="H989" s="99">
        <f>H994+H990</f>
        <v>-21870</v>
      </c>
      <c r="I989" s="99">
        <f t="shared" si="92"/>
        <v>47182</v>
      </c>
      <c r="J989" s="99">
        <f>J994+J990</f>
        <v>12550</v>
      </c>
      <c r="K989" s="96">
        <f t="shared" si="98"/>
        <v>59732</v>
      </c>
      <c r="L989" s="106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21" customHeight="1">
      <c r="A990" s="136" t="s">
        <v>113</v>
      </c>
      <c r="B990" s="78">
        <v>841</v>
      </c>
      <c r="C990" s="67" t="s">
        <v>108</v>
      </c>
      <c r="D990" s="67" t="s">
        <v>24</v>
      </c>
      <c r="E990" s="67"/>
      <c r="F990" s="67"/>
      <c r="G990" s="96">
        <f aca="true" t="shared" si="100" ref="G990:J992">SUM(G991)</f>
        <v>2000</v>
      </c>
      <c r="H990" s="99">
        <f t="shared" si="100"/>
        <v>2000</v>
      </c>
      <c r="I990" s="99">
        <f t="shared" si="92"/>
        <v>4000</v>
      </c>
      <c r="J990" s="99">
        <f t="shared" si="100"/>
        <v>0</v>
      </c>
      <c r="K990" s="96">
        <f t="shared" si="98"/>
        <v>4000</v>
      </c>
      <c r="L990" s="106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21" customHeight="1">
      <c r="A991" s="136" t="s">
        <v>287</v>
      </c>
      <c r="B991" s="78">
        <v>841</v>
      </c>
      <c r="C991" s="67" t="s">
        <v>108</v>
      </c>
      <c r="D991" s="67" t="s">
        <v>24</v>
      </c>
      <c r="E991" s="67" t="s">
        <v>487</v>
      </c>
      <c r="F991" s="67"/>
      <c r="G991" s="96">
        <f t="shared" si="100"/>
        <v>2000</v>
      </c>
      <c r="H991" s="99">
        <f t="shared" si="100"/>
        <v>2000</v>
      </c>
      <c r="I991" s="99">
        <f t="shared" si="92"/>
        <v>4000</v>
      </c>
      <c r="J991" s="99">
        <f t="shared" si="100"/>
        <v>0</v>
      </c>
      <c r="K991" s="96">
        <f t="shared" si="98"/>
        <v>4000</v>
      </c>
      <c r="L991" s="106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21" customHeight="1">
      <c r="A992" s="136" t="s">
        <v>198</v>
      </c>
      <c r="B992" s="78">
        <v>841</v>
      </c>
      <c r="C992" s="67" t="s">
        <v>108</v>
      </c>
      <c r="D992" s="67" t="s">
        <v>24</v>
      </c>
      <c r="E992" s="67" t="s">
        <v>486</v>
      </c>
      <c r="F992" s="67"/>
      <c r="G992" s="96">
        <f t="shared" si="100"/>
        <v>2000</v>
      </c>
      <c r="H992" s="99">
        <f t="shared" si="100"/>
        <v>2000</v>
      </c>
      <c r="I992" s="99">
        <f t="shared" si="92"/>
        <v>4000</v>
      </c>
      <c r="J992" s="99">
        <f t="shared" si="100"/>
        <v>0</v>
      </c>
      <c r="K992" s="96">
        <f t="shared" si="98"/>
        <v>4000</v>
      </c>
      <c r="L992" s="106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21" customHeight="1">
      <c r="A993" s="124" t="s">
        <v>438</v>
      </c>
      <c r="B993" s="78">
        <v>841</v>
      </c>
      <c r="C993" s="67" t="s">
        <v>108</v>
      </c>
      <c r="D993" s="67" t="s">
        <v>24</v>
      </c>
      <c r="E993" s="67" t="s">
        <v>486</v>
      </c>
      <c r="F993" s="67" t="s">
        <v>277</v>
      </c>
      <c r="G993" s="96">
        <v>2000</v>
      </c>
      <c r="H993" s="104">
        <f>2000</f>
        <v>2000</v>
      </c>
      <c r="I993" s="99">
        <f t="shared" si="92"/>
        <v>4000</v>
      </c>
      <c r="J993" s="104"/>
      <c r="K993" s="96">
        <f t="shared" si="98"/>
        <v>4000</v>
      </c>
      <c r="L993" s="106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7.25" customHeight="1">
      <c r="A994" s="135" t="s">
        <v>200</v>
      </c>
      <c r="B994" s="78">
        <v>841</v>
      </c>
      <c r="C994" s="67" t="s">
        <v>108</v>
      </c>
      <c r="D994" s="67" t="s">
        <v>26</v>
      </c>
      <c r="E994" s="67"/>
      <c r="F994" s="67"/>
      <c r="G994" s="96">
        <f>G995</f>
        <v>67052</v>
      </c>
      <c r="H994" s="99">
        <f>H995</f>
        <v>-23870</v>
      </c>
      <c r="I994" s="99">
        <f t="shared" si="92"/>
        <v>43182</v>
      </c>
      <c r="J994" s="99">
        <f>J995</f>
        <v>12550</v>
      </c>
      <c r="K994" s="96">
        <f t="shared" si="98"/>
        <v>55732</v>
      </c>
      <c r="L994" s="106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8" customHeight="1">
      <c r="A995" s="136" t="s">
        <v>493</v>
      </c>
      <c r="B995" s="78">
        <v>841</v>
      </c>
      <c r="C995" s="67" t="s">
        <v>108</v>
      </c>
      <c r="D995" s="67" t="s">
        <v>26</v>
      </c>
      <c r="E995" s="67" t="s">
        <v>494</v>
      </c>
      <c r="F995" s="67"/>
      <c r="G995" s="96">
        <f>G996+G998</f>
        <v>67052</v>
      </c>
      <c r="H995" s="99">
        <f>H996+H998</f>
        <v>-23870</v>
      </c>
      <c r="I995" s="99">
        <f t="shared" si="92"/>
        <v>43182</v>
      </c>
      <c r="J995" s="99">
        <f>J996+J998</f>
        <v>12550</v>
      </c>
      <c r="K995" s="96">
        <f t="shared" si="98"/>
        <v>55732</v>
      </c>
      <c r="L995" s="106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33" customHeight="1">
      <c r="A996" s="135" t="s">
        <v>496</v>
      </c>
      <c r="B996" s="78">
        <v>841</v>
      </c>
      <c r="C996" s="67" t="s">
        <v>108</v>
      </c>
      <c r="D996" s="67" t="s">
        <v>26</v>
      </c>
      <c r="E996" s="67" t="s">
        <v>497</v>
      </c>
      <c r="F996" s="67"/>
      <c r="G996" s="96">
        <f>G997</f>
        <v>67052</v>
      </c>
      <c r="H996" s="99">
        <f>H997</f>
        <v>-23870</v>
      </c>
      <c r="I996" s="99">
        <f t="shared" si="92"/>
        <v>43182</v>
      </c>
      <c r="J996" s="99">
        <f>J997</f>
        <v>12550</v>
      </c>
      <c r="K996" s="96">
        <f t="shared" si="98"/>
        <v>55732</v>
      </c>
      <c r="L996" s="106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9.5" customHeight="1">
      <c r="A997" s="124" t="s">
        <v>438</v>
      </c>
      <c r="B997" s="78">
        <v>841</v>
      </c>
      <c r="C997" s="67" t="s">
        <v>108</v>
      </c>
      <c r="D997" s="67" t="s">
        <v>26</v>
      </c>
      <c r="E997" s="67" t="s">
        <v>497</v>
      </c>
      <c r="F997" s="67" t="s">
        <v>277</v>
      </c>
      <c r="G997" s="96">
        <v>67052</v>
      </c>
      <c r="H997" s="104">
        <f>-8500-11000-5370+1000</f>
        <v>-23870</v>
      </c>
      <c r="I997" s="99">
        <f t="shared" si="92"/>
        <v>43182</v>
      </c>
      <c r="J997" s="104">
        <f>5000+600+250+700+6000</f>
        <v>12550</v>
      </c>
      <c r="K997" s="96">
        <f t="shared" si="98"/>
        <v>55732</v>
      </c>
      <c r="L997" s="106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6.5" customHeight="1" hidden="1">
      <c r="A998" s="135" t="s">
        <v>624</v>
      </c>
      <c r="B998" s="78">
        <v>841</v>
      </c>
      <c r="C998" s="67" t="s">
        <v>108</v>
      </c>
      <c r="D998" s="67" t="s">
        <v>26</v>
      </c>
      <c r="E998" s="67" t="s">
        <v>500</v>
      </c>
      <c r="F998" s="67"/>
      <c r="G998" s="96">
        <f>G999</f>
        <v>0</v>
      </c>
      <c r="H998" s="104"/>
      <c r="I998" s="99">
        <f t="shared" si="92"/>
        <v>0</v>
      </c>
      <c r="J998" s="104"/>
      <c r="K998" s="96">
        <f t="shared" si="98"/>
        <v>0</v>
      </c>
      <c r="L998" s="106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5.75" customHeight="1" hidden="1">
      <c r="A999" s="120" t="s">
        <v>438</v>
      </c>
      <c r="B999" s="78">
        <v>841</v>
      </c>
      <c r="C999" s="67" t="s">
        <v>108</v>
      </c>
      <c r="D999" s="67" t="s">
        <v>26</v>
      </c>
      <c r="E999" s="67" t="s">
        <v>500</v>
      </c>
      <c r="F999" s="67" t="s">
        <v>277</v>
      </c>
      <c r="G999" s="96"/>
      <c r="H999" s="104"/>
      <c r="I999" s="99">
        <f t="shared" si="92"/>
        <v>0</v>
      </c>
      <c r="J999" s="104"/>
      <c r="K999" s="96">
        <f t="shared" si="98"/>
        <v>0</v>
      </c>
      <c r="L999" s="106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6.5">
      <c r="A1000" s="146" t="s">
        <v>507</v>
      </c>
      <c r="B1000" s="78">
        <v>841</v>
      </c>
      <c r="C1000" s="67" t="s">
        <v>625</v>
      </c>
      <c r="D1000" s="67"/>
      <c r="E1000" s="67"/>
      <c r="F1000" s="67"/>
      <c r="G1000" s="96">
        <f>SUM(G1001,G1005,G1019)</f>
        <v>80408.7</v>
      </c>
      <c r="H1000" s="99">
        <f>SUM(H1001,H1005,H1019)</f>
        <v>-20227.199999999997</v>
      </c>
      <c r="I1000" s="99">
        <f aca="true" t="shared" si="101" ref="I1000:I1074">H1000+G1000</f>
        <v>60181.5</v>
      </c>
      <c r="J1000" s="99">
        <f>SUM(J1001,J1005,J1019,J1012)</f>
        <v>6355</v>
      </c>
      <c r="K1000" s="96">
        <f t="shared" si="98"/>
        <v>66536.5</v>
      </c>
      <c r="L1000" s="106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ht="16.5">
      <c r="A1001" s="136" t="s">
        <v>556</v>
      </c>
      <c r="B1001" s="78">
        <v>841</v>
      </c>
      <c r="C1001" s="67" t="s">
        <v>625</v>
      </c>
      <c r="D1001" s="67" t="s">
        <v>24</v>
      </c>
      <c r="E1001" s="67"/>
      <c r="F1001" s="67"/>
      <c r="G1001" s="96">
        <f aca="true" t="shared" si="102" ref="G1001:J1003">SUM(G1002)</f>
        <v>13670.8</v>
      </c>
      <c r="H1001" s="99">
        <f t="shared" si="102"/>
        <v>0</v>
      </c>
      <c r="I1001" s="99">
        <f t="shared" si="101"/>
        <v>13670.8</v>
      </c>
      <c r="J1001" s="99">
        <f t="shared" si="102"/>
        <v>0</v>
      </c>
      <c r="K1001" s="96">
        <f t="shared" si="98"/>
        <v>13670.8</v>
      </c>
      <c r="L1001" s="106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ht="18" customHeight="1">
      <c r="A1002" s="136" t="s">
        <v>119</v>
      </c>
      <c r="B1002" s="78">
        <v>841</v>
      </c>
      <c r="C1002" s="67" t="s">
        <v>625</v>
      </c>
      <c r="D1002" s="67" t="s">
        <v>24</v>
      </c>
      <c r="E1002" s="67" t="s">
        <v>557</v>
      </c>
      <c r="F1002" s="67"/>
      <c r="G1002" s="96">
        <f t="shared" si="102"/>
        <v>13670.8</v>
      </c>
      <c r="H1002" s="99">
        <f t="shared" si="102"/>
        <v>0</v>
      </c>
      <c r="I1002" s="99">
        <f t="shared" si="101"/>
        <v>13670.8</v>
      </c>
      <c r="J1002" s="99">
        <f t="shared" si="102"/>
        <v>0</v>
      </c>
      <c r="K1002" s="96">
        <f t="shared" si="98"/>
        <v>13670.8</v>
      </c>
      <c r="L1002" s="106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ht="16.5" customHeight="1">
      <c r="A1003" s="136" t="s">
        <v>480</v>
      </c>
      <c r="B1003" s="78">
        <v>841</v>
      </c>
      <c r="C1003" s="67" t="s">
        <v>625</v>
      </c>
      <c r="D1003" s="67" t="s">
        <v>24</v>
      </c>
      <c r="E1003" s="67" t="s">
        <v>558</v>
      </c>
      <c r="F1003" s="67"/>
      <c r="G1003" s="96">
        <f t="shared" si="102"/>
        <v>13670.8</v>
      </c>
      <c r="H1003" s="99">
        <f t="shared" si="102"/>
        <v>0</v>
      </c>
      <c r="I1003" s="99">
        <f t="shared" si="101"/>
        <v>13670.8</v>
      </c>
      <c r="J1003" s="99">
        <f t="shared" si="102"/>
        <v>0</v>
      </c>
      <c r="K1003" s="96">
        <f t="shared" si="98"/>
        <v>13670.8</v>
      </c>
      <c r="L1003" s="106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ht="18.75" customHeight="1">
      <c r="A1004" s="124" t="s">
        <v>63</v>
      </c>
      <c r="B1004" s="78">
        <v>841</v>
      </c>
      <c r="C1004" s="67" t="s">
        <v>625</v>
      </c>
      <c r="D1004" s="67" t="s">
        <v>24</v>
      </c>
      <c r="E1004" s="67" t="s">
        <v>558</v>
      </c>
      <c r="F1004" s="67" t="s">
        <v>660</v>
      </c>
      <c r="G1004" s="96">
        <v>13670.8</v>
      </c>
      <c r="H1004" s="104"/>
      <c r="I1004" s="99">
        <f t="shared" si="101"/>
        <v>13670.8</v>
      </c>
      <c r="J1004" s="104"/>
      <c r="K1004" s="96">
        <f t="shared" si="98"/>
        <v>13670.8</v>
      </c>
      <c r="L1004" s="106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ht="16.5">
      <c r="A1005" s="136" t="s">
        <v>194</v>
      </c>
      <c r="B1005" s="78">
        <v>841</v>
      </c>
      <c r="C1005" s="67" t="s">
        <v>625</v>
      </c>
      <c r="D1005" s="67" t="s">
        <v>25</v>
      </c>
      <c r="E1005" s="67"/>
      <c r="F1005" s="67"/>
      <c r="G1005" s="96">
        <f>SUM(G1006,G1009)</f>
        <v>59775.4</v>
      </c>
      <c r="H1005" s="99">
        <f>SUM(H1006,H1009)</f>
        <v>-20227.199999999997</v>
      </c>
      <c r="I1005" s="99">
        <f t="shared" si="101"/>
        <v>39548.200000000004</v>
      </c>
      <c r="J1005" s="99">
        <f>SUM(J1006,J1009)</f>
        <v>5055</v>
      </c>
      <c r="K1005" s="96">
        <f t="shared" si="98"/>
        <v>44603.200000000004</v>
      </c>
      <c r="L1005" s="106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ht="20.25" customHeight="1">
      <c r="A1006" s="136" t="s">
        <v>373</v>
      </c>
      <c r="B1006" s="78">
        <v>841</v>
      </c>
      <c r="C1006" s="67" t="s">
        <v>625</v>
      </c>
      <c r="D1006" s="67" t="s">
        <v>25</v>
      </c>
      <c r="E1006" s="67" t="s">
        <v>559</v>
      </c>
      <c r="F1006" s="67"/>
      <c r="G1006" s="96">
        <f aca="true" t="shared" si="103" ref="G1006:J1007">SUM(G1007)</f>
        <v>21543.1</v>
      </c>
      <c r="H1006" s="99">
        <f t="shared" si="103"/>
        <v>-12544.3</v>
      </c>
      <c r="I1006" s="99">
        <f t="shared" si="101"/>
        <v>8998.8</v>
      </c>
      <c r="J1006" s="99">
        <f t="shared" si="103"/>
        <v>5055</v>
      </c>
      <c r="K1006" s="96">
        <f t="shared" si="98"/>
        <v>14053.8</v>
      </c>
      <c r="L1006" s="106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ht="18.75" customHeight="1">
      <c r="A1007" s="136" t="s">
        <v>480</v>
      </c>
      <c r="B1007" s="78">
        <v>841</v>
      </c>
      <c r="C1007" s="67" t="s">
        <v>625</v>
      </c>
      <c r="D1007" s="67" t="s">
        <v>25</v>
      </c>
      <c r="E1007" s="67" t="s">
        <v>560</v>
      </c>
      <c r="F1007" s="67"/>
      <c r="G1007" s="96">
        <f t="shared" si="103"/>
        <v>21543.1</v>
      </c>
      <c r="H1007" s="99">
        <f t="shared" si="103"/>
        <v>-12544.3</v>
      </c>
      <c r="I1007" s="99">
        <f t="shared" si="101"/>
        <v>8998.8</v>
      </c>
      <c r="J1007" s="99">
        <f t="shared" si="103"/>
        <v>5055</v>
      </c>
      <c r="K1007" s="96">
        <f t="shared" si="98"/>
        <v>14053.8</v>
      </c>
      <c r="L1007" s="106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ht="19.5" customHeight="1">
      <c r="A1008" s="124" t="s">
        <v>63</v>
      </c>
      <c r="B1008" s="78">
        <v>841</v>
      </c>
      <c r="C1008" s="67" t="s">
        <v>625</v>
      </c>
      <c r="D1008" s="67" t="s">
        <v>25</v>
      </c>
      <c r="E1008" s="67" t="s">
        <v>560</v>
      </c>
      <c r="F1008" s="67" t="s">
        <v>660</v>
      </c>
      <c r="G1008" s="96">
        <v>21543.1</v>
      </c>
      <c r="H1008" s="104">
        <f>694.7-13239</f>
        <v>-12544.3</v>
      </c>
      <c r="I1008" s="99">
        <f t="shared" si="101"/>
        <v>8998.8</v>
      </c>
      <c r="J1008" s="104">
        <f>55+5000</f>
        <v>5055</v>
      </c>
      <c r="K1008" s="96">
        <f t="shared" si="98"/>
        <v>14053.8</v>
      </c>
      <c r="L1008" s="106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ht="18" customHeight="1">
      <c r="A1009" s="136" t="s">
        <v>582</v>
      </c>
      <c r="B1009" s="78">
        <v>841</v>
      </c>
      <c r="C1009" s="67" t="s">
        <v>625</v>
      </c>
      <c r="D1009" s="67" t="s">
        <v>25</v>
      </c>
      <c r="E1009" s="67" t="s">
        <v>562</v>
      </c>
      <c r="F1009" s="67"/>
      <c r="G1009" s="96">
        <f aca="true" t="shared" si="104" ref="G1009:J1010">SUM(G1010)</f>
        <v>38232.3</v>
      </c>
      <c r="H1009" s="99">
        <f t="shared" si="104"/>
        <v>-7682.9</v>
      </c>
      <c r="I1009" s="99">
        <f t="shared" si="101"/>
        <v>30549.4</v>
      </c>
      <c r="J1009" s="99">
        <f t="shared" si="104"/>
        <v>0</v>
      </c>
      <c r="K1009" s="96">
        <f t="shared" si="98"/>
        <v>30549.4</v>
      </c>
      <c r="L1009" s="106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ht="17.25" customHeight="1">
      <c r="A1010" s="136" t="s">
        <v>480</v>
      </c>
      <c r="B1010" s="78">
        <v>841</v>
      </c>
      <c r="C1010" s="67" t="s">
        <v>625</v>
      </c>
      <c r="D1010" s="67" t="s">
        <v>25</v>
      </c>
      <c r="E1010" s="67" t="s">
        <v>563</v>
      </c>
      <c r="F1010" s="67"/>
      <c r="G1010" s="96">
        <f t="shared" si="104"/>
        <v>38232.3</v>
      </c>
      <c r="H1010" s="99">
        <f t="shared" si="104"/>
        <v>-7682.9</v>
      </c>
      <c r="I1010" s="99">
        <f t="shared" si="101"/>
        <v>30549.4</v>
      </c>
      <c r="J1010" s="99">
        <f t="shared" si="104"/>
        <v>0</v>
      </c>
      <c r="K1010" s="96">
        <f t="shared" si="98"/>
        <v>30549.4</v>
      </c>
      <c r="L1010" s="106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ht="18.75" customHeight="1">
      <c r="A1011" s="124" t="s">
        <v>63</v>
      </c>
      <c r="B1011" s="78">
        <v>841</v>
      </c>
      <c r="C1011" s="67" t="s">
        <v>625</v>
      </c>
      <c r="D1011" s="67" t="s">
        <v>25</v>
      </c>
      <c r="E1011" s="67" t="s">
        <v>563</v>
      </c>
      <c r="F1011" s="67" t="s">
        <v>660</v>
      </c>
      <c r="G1011" s="96">
        <v>38232.3</v>
      </c>
      <c r="H1011" s="104">
        <f>317.1-8000</f>
        <v>-7682.9</v>
      </c>
      <c r="I1011" s="99">
        <f t="shared" si="101"/>
        <v>30549.4</v>
      </c>
      <c r="J1011" s="104"/>
      <c r="K1011" s="96">
        <f t="shared" si="98"/>
        <v>30549.4</v>
      </c>
      <c r="L1011" s="106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ht="18.75" customHeight="1">
      <c r="A1012" s="136" t="s">
        <v>307</v>
      </c>
      <c r="B1012" s="78">
        <v>841</v>
      </c>
      <c r="C1012" s="67" t="s">
        <v>625</v>
      </c>
      <c r="D1012" s="67" t="s">
        <v>625</v>
      </c>
      <c r="E1012" s="67"/>
      <c r="F1012" s="67"/>
      <c r="G1012" s="96"/>
      <c r="H1012" s="104"/>
      <c r="I1012" s="99"/>
      <c r="J1012" s="104">
        <f>J1013+J1016</f>
        <v>1300</v>
      </c>
      <c r="K1012" s="96">
        <f t="shared" si="98"/>
        <v>1300</v>
      </c>
      <c r="L1012" s="106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ht="18.75" customHeight="1">
      <c r="A1013" s="124" t="s">
        <v>286</v>
      </c>
      <c r="B1013" s="78">
        <v>841</v>
      </c>
      <c r="C1013" s="67" t="s">
        <v>625</v>
      </c>
      <c r="D1013" s="67" t="s">
        <v>625</v>
      </c>
      <c r="E1013" s="67" t="s">
        <v>591</v>
      </c>
      <c r="F1013" s="67"/>
      <c r="G1013" s="96"/>
      <c r="H1013" s="104"/>
      <c r="I1013" s="99"/>
      <c r="J1013" s="104">
        <f>J1014</f>
        <v>26</v>
      </c>
      <c r="K1013" s="96">
        <f t="shared" si="98"/>
        <v>26</v>
      </c>
      <c r="L1013" s="106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ht="18.75" customHeight="1">
      <c r="A1014" s="146" t="s">
        <v>393</v>
      </c>
      <c r="B1014" s="78">
        <v>841</v>
      </c>
      <c r="C1014" s="67" t="s">
        <v>625</v>
      </c>
      <c r="D1014" s="67" t="s">
        <v>625</v>
      </c>
      <c r="E1014" s="67" t="s">
        <v>633</v>
      </c>
      <c r="F1014" s="67"/>
      <c r="G1014" s="96"/>
      <c r="H1014" s="104"/>
      <c r="I1014" s="99"/>
      <c r="J1014" s="104">
        <f>J1015</f>
        <v>26</v>
      </c>
      <c r="K1014" s="96">
        <f t="shared" si="98"/>
        <v>26</v>
      </c>
      <c r="L1014" s="106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ht="18.75" customHeight="1">
      <c r="A1015" s="120" t="s">
        <v>618</v>
      </c>
      <c r="B1015" s="78">
        <v>841</v>
      </c>
      <c r="C1015" s="67" t="s">
        <v>625</v>
      </c>
      <c r="D1015" s="67" t="s">
        <v>625</v>
      </c>
      <c r="E1015" s="67" t="s">
        <v>633</v>
      </c>
      <c r="F1015" s="67" t="s">
        <v>193</v>
      </c>
      <c r="G1015" s="96"/>
      <c r="H1015" s="104"/>
      <c r="I1015" s="99"/>
      <c r="J1015" s="104">
        <v>26</v>
      </c>
      <c r="K1015" s="96">
        <f t="shared" si="98"/>
        <v>26</v>
      </c>
      <c r="L1015" s="106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ht="18.75" customHeight="1">
      <c r="A1016" s="132" t="s">
        <v>439</v>
      </c>
      <c r="B1016" s="78">
        <v>841</v>
      </c>
      <c r="C1016" s="67" t="s">
        <v>625</v>
      </c>
      <c r="D1016" s="67" t="s">
        <v>625</v>
      </c>
      <c r="E1016" s="67" t="s">
        <v>471</v>
      </c>
      <c r="F1016" s="67"/>
      <c r="G1016" s="96"/>
      <c r="H1016" s="104"/>
      <c r="I1016" s="99"/>
      <c r="J1016" s="104">
        <f>J1017</f>
        <v>1274</v>
      </c>
      <c r="K1016" s="96">
        <f t="shared" si="98"/>
        <v>1274</v>
      </c>
      <c r="L1016" s="106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ht="48" customHeight="1">
      <c r="A1017" s="132" t="s">
        <v>183</v>
      </c>
      <c r="B1017" s="78">
        <v>841</v>
      </c>
      <c r="C1017" s="67" t="s">
        <v>625</v>
      </c>
      <c r="D1017" s="67" t="s">
        <v>625</v>
      </c>
      <c r="E1017" s="67" t="s">
        <v>82</v>
      </c>
      <c r="F1017" s="67"/>
      <c r="G1017" s="96"/>
      <c r="H1017" s="104"/>
      <c r="I1017" s="99"/>
      <c r="J1017" s="104">
        <f>J1018</f>
        <v>1274</v>
      </c>
      <c r="K1017" s="96">
        <f t="shared" si="98"/>
        <v>1274</v>
      </c>
      <c r="L1017" s="106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ht="18.75" customHeight="1">
      <c r="A1018" s="120" t="s">
        <v>618</v>
      </c>
      <c r="B1018" s="78">
        <v>841</v>
      </c>
      <c r="C1018" s="67" t="s">
        <v>625</v>
      </c>
      <c r="D1018" s="67" t="s">
        <v>625</v>
      </c>
      <c r="E1018" s="67" t="s">
        <v>82</v>
      </c>
      <c r="F1018" s="67" t="s">
        <v>193</v>
      </c>
      <c r="G1018" s="96"/>
      <c r="H1018" s="104"/>
      <c r="I1018" s="99"/>
      <c r="J1018" s="104">
        <v>1274</v>
      </c>
      <c r="K1018" s="96">
        <f t="shared" si="98"/>
        <v>1274</v>
      </c>
      <c r="L1018" s="106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ht="18.75" customHeight="1">
      <c r="A1019" s="136" t="s">
        <v>195</v>
      </c>
      <c r="B1019" s="29">
        <v>841</v>
      </c>
      <c r="C1019" s="79" t="s">
        <v>625</v>
      </c>
      <c r="D1019" s="79" t="s">
        <v>106</v>
      </c>
      <c r="E1019" s="79"/>
      <c r="F1019" s="79"/>
      <c r="G1019" s="96">
        <f>G1020+G1023</f>
        <v>6962.5</v>
      </c>
      <c r="H1019" s="99">
        <f>H1020+H1023</f>
        <v>0</v>
      </c>
      <c r="I1019" s="99">
        <f t="shared" si="101"/>
        <v>6962.5</v>
      </c>
      <c r="J1019" s="99">
        <f>J1020+J1023</f>
        <v>0</v>
      </c>
      <c r="K1019" s="96">
        <f t="shared" si="98"/>
        <v>6962.5</v>
      </c>
      <c r="L1019" s="106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ht="33.75" customHeight="1" hidden="1">
      <c r="A1020" s="124" t="s">
        <v>45</v>
      </c>
      <c r="B1020" s="78">
        <v>841</v>
      </c>
      <c r="C1020" s="67" t="s">
        <v>625</v>
      </c>
      <c r="D1020" s="67" t="s">
        <v>106</v>
      </c>
      <c r="E1020" s="67" t="s">
        <v>648</v>
      </c>
      <c r="F1020" s="79"/>
      <c r="G1020" s="96">
        <f aca="true" t="shared" si="105" ref="G1020:J1021">SUM(G1021)</f>
        <v>0</v>
      </c>
      <c r="H1020" s="99">
        <f t="shared" si="105"/>
        <v>0</v>
      </c>
      <c r="I1020" s="99">
        <f t="shared" si="101"/>
        <v>0</v>
      </c>
      <c r="J1020" s="99">
        <f t="shared" si="105"/>
        <v>0</v>
      </c>
      <c r="K1020" s="96">
        <f t="shared" si="98"/>
        <v>0</v>
      </c>
      <c r="L1020" s="106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ht="18.75" customHeight="1" hidden="1">
      <c r="A1021" s="136" t="s">
        <v>480</v>
      </c>
      <c r="B1021" s="78">
        <v>841</v>
      </c>
      <c r="C1021" s="67" t="s">
        <v>625</v>
      </c>
      <c r="D1021" s="67" t="s">
        <v>106</v>
      </c>
      <c r="E1021" s="67" t="s">
        <v>649</v>
      </c>
      <c r="F1021" s="67"/>
      <c r="G1021" s="96">
        <f t="shared" si="105"/>
        <v>0</v>
      </c>
      <c r="H1021" s="99">
        <f t="shared" si="105"/>
        <v>0</v>
      </c>
      <c r="I1021" s="99">
        <f t="shared" si="101"/>
        <v>0</v>
      </c>
      <c r="J1021" s="99">
        <f t="shared" si="105"/>
        <v>0</v>
      </c>
      <c r="K1021" s="96">
        <f t="shared" si="98"/>
        <v>0</v>
      </c>
      <c r="L1021" s="106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ht="18.75" customHeight="1" hidden="1">
      <c r="A1022" s="124" t="s">
        <v>63</v>
      </c>
      <c r="B1022" s="78">
        <v>841</v>
      </c>
      <c r="C1022" s="67" t="s">
        <v>625</v>
      </c>
      <c r="D1022" s="67" t="s">
        <v>106</v>
      </c>
      <c r="E1022" s="67" t="s">
        <v>649</v>
      </c>
      <c r="F1022" s="67" t="s">
        <v>660</v>
      </c>
      <c r="G1022" s="96"/>
      <c r="H1022" s="99"/>
      <c r="I1022" s="99">
        <f t="shared" si="101"/>
        <v>0</v>
      </c>
      <c r="J1022" s="99"/>
      <c r="K1022" s="96">
        <f t="shared" si="98"/>
        <v>0</v>
      </c>
      <c r="L1022" s="106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ht="16.5">
      <c r="A1023" s="146" t="s">
        <v>441</v>
      </c>
      <c r="B1023" s="29">
        <v>841</v>
      </c>
      <c r="C1023" s="79" t="s">
        <v>625</v>
      </c>
      <c r="D1023" s="79" t="s">
        <v>106</v>
      </c>
      <c r="E1023" s="67" t="s">
        <v>433</v>
      </c>
      <c r="F1023" s="67"/>
      <c r="G1023" s="96">
        <f>SUM(G1025)</f>
        <v>6962.5</v>
      </c>
      <c r="H1023" s="99">
        <f>SUM(H1025)</f>
        <v>0</v>
      </c>
      <c r="I1023" s="99">
        <f t="shared" si="101"/>
        <v>6962.5</v>
      </c>
      <c r="J1023" s="99">
        <f>SUM(J1025)</f>
        <v>0</v>
      </c>
      <c r="K1023" s="96">
        <f t="shared" si="98"/>
        <v>6962.5</v>
      </c>
      <c r="L1023" s="106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ht="16.5">
      <c r="A1024" s="146" t="s">
        <v>470</v>
      </c>
      <c r="B1024" s="29">
        <v>841</v>
      </c>
      <c r="C1024" s="79" t="s">
        <v>625</v>
      </c>
      <c r="D1024" s="79" t="s">
        <v>106</v>
      </c>
      <c r="E1024" s="67" t="s">
        <v>434</v>
      </c>
      <c r="F1024" s="67"/>
      <c r="G1024" s="96">
        <f>G1025</f>
        <v>6962.5</v>
      </c>
      <c r="H1024" s="99">
        <f>H1025</f>
        <v>0</v>
      </c>
      <c r="I1024" s="99">
        <f t="shared" si="101"/>
        <v>6962.5</v>
      </c>
      <c r="J1024" s="99">
        <f>J1025</f>
        <v>0</v>
      </c>
      <c r="K1024" s="96">
        <f t="shared" si="98"/>
        <v>6962.5</v>
      </c>
      <c r="L1024" s="106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ht="18.75" customHeight="1">
      <c r="A1025" s="136" t="s">
        <v>11</v>
      </c>
      <c r="B1025" s="29">
        <v>841</v>
      </c>
      <c r="C1025" s="79" t="s">
        <v>625</v>
      </c>
      <c r="D1025" s="79" t="s">
        <v>106</v>
      </c>
      <c r="E1025" s="67" t="s">
        <v>440</v>
      </c>
      <c r="F1025" s="67"/>
      <c r="G1025" s="96">
        <f>SUM(G1026)</f>
        <v>6962.5</v>
      </c>
      <c r="H1025" s="99">
        <f>SUM(H1026)</f>
        <v>0</v>
      </c>
      <c r="I1025" s="99">
        <f t="shared" si="101"/>
        <v>6962.5</v>
      </c>
      <c r="J1025" s="99">
        <f>SUM(J1026)</f>
        <v>0</v>
      </c>
      <c r="K1025" s="96">
        <f t="shared" si="98"/>
        <v>6962.5</v>
      </c>
      <c r="L1025" s="106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ht="18.75" customHeight="1">
      <c r="A1026" s="120" t="s">
        <v>618</v>
      </c>
      <c r="B1026" s="78">
        <v>841</v>
      </c>
      <c r="C1026" s="67" t="s">
        <v>625</v>
      </c>
      <c r="D1026" s="67" t="s">
        <v>106</v>
      </c>
      <c r="E1026" s="67" t="s">
        <v>440</v>
      </c>
      <c r="F1026" s="67" t="s">
        <v>193</v>
      </c>
      <c r="G1026" s="96">
        <v>6962.5</v>
      </c>
      <c r="H1026" s="104"/>
      <c r="I1026" s="99">
        <f t="shared" si="101"/>
        <v>6962.5</v>
      </c>
      <c r="J1026" s="104"/>
      <c r="K1026" s="96">
        <f t="shared" si="98"/>
        <v>6962.5</v>
      </c>
      <c r="L1026" s="106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ht="18" customHeight="1">
      <c r="A1027" s="136" t="s">
        <v>379</v>
      </c>
      <c r="B1027" s="78">
        <v>841</v>
      </c>
      <c r="C1027" s="67" t="s">
        <v>109</v>
      </c>
      <c r="D1027" s="67"/>
      <c r="E1027" s="67"/>
      <c r="F1027" s="67"/>
      <c r="G1027" s="96">
        <f aca="true" t="shared" si="106" ref="G1027:J1030">SUM(G1028)</f>
        <v>3367.6</v>
      </c>
      <c r="H1027" s="99">
        <f t="shared" si="106"/>
        <v>0</v>
      </c>
      <c r="I1027" s="99">
        <f t="shared" si="101"/>
        <v>3367.6</v>
      </c>
      <c r="J1027" s="99">
        <f t="shared" si="106"/>
        <v>0</v>
      </c>
      <c r="K1027" s="96">
        <f t="shared" si="98"/>
        <v>3367.6</v>
      </c>
      <c r="L1027" s="106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ht="19.5" customHeight="1">
      <c r="A1028" s="136" t="s">
        <v>314</v>
      </c>
      <c r="B1028" s="78">
        <v>841</v>
      </c>
      <c r="C1028" s="67" t="s">
        <v>109</v>
      </c>
      <c r="D1028" s="67" t="s">
        <v>24</v>
      </c>
      <c r="E1028" s="67"/>
      <c r="F1028" s="67"/>
      <c r="G1028" s="96">
        <f t="shared" si="106"/>
        <v>3367.6</v>
      </c>
      <c r="H1028" s="99">
        <f t="shared" si="106"/>
        <v>0</v>
      </c>
      <c r="I1028" s="99">
        <f t="shared" si="101"/>
        <v>3367.6</v>
      </c>
      <c r="J1028" s="99">
        <f t="shared" si="106"/>
        <v>0</v>
      </c>
      <c r="K1028" s="96">
        <f t="shared" si="98"/>
        <v>3367.6</v>
      </c>
      <c r="L1028" s="106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ht="19.5" customHeight="1">
      <c r="A1029" s="136" t="s">
        <v>315</v>
      </c>
      <c r="B1029" s="78">
        <v>841</v>
      </c>
      <c r="C1029" s="67" t="s">
        <v>109</v>
      </c>
      <c r="D1029" s="67" t="s">
        <v>24</v>
      </c>
      <c r="E1029" s="67" t="s">
        <v>232</v>
      </c>
      <c r="F1029" s="67"/>
      <c r="G1029" s="96">
        <f t="shared" si="106"/>
        <v>3367.6</v>
      </c>
      <c r="H1029" s="99">
        <f t="shared" si="106"/>
        <v>0</v>
      </c>
      <c r="I1029" s="99">
        <f t="shared" si="101"/>
        <v>3367.6</v>
      </c>
      <c r="J1029" s="99">
        <f t="shared" si="106"/>
        <v>0</v>
      </c>
      <c r="K1029" s="96">
        <f t="shared" si="98"/>
        <v>3367.6</v>
      </c>
      <c r="L1029" s="106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ht="18" customHeight="1">
      <c r="A1030" s="136" t="s">
        <v>480</v>
      </c>
      <c r="B1030" s="78">
        <v>841</v>
      </c>
      <c r="C1030" s="67" t="s">
        <v>109</v>
      </c>
      <c r="D1030" s="67" t="s">
        <v>24</v>
      </c>
      <c r="E1030" s="67" t="s">
        <v>233</v>
      </c>
      <c r="F1030" s="67"/>
      <c r="G1030" s="96">
        <f t="shared" si="106"/>
        <v>3367.6</v>
      </c>
      <c r="H1030" s="99">
        <f t="shared" si="106"/>
        <v>0</v>
      </c>
      <c r="I1030" s="99">
        <f t="shared" si="101"/>
        <v>3367.6</v>
      </c>
      <c r="J1030" s="99">
        <f t="shared" si="106"/>
        <v>0</v>
      </c>
      <c r="K1030" s="96">
        <f t="shared" si="98"/>
        <v>3367.6</v>
      </c>
      <c r="L1030" s="106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ht="19.5" customHeight="1">
      <c r="A1031" s="124" t="s">
        <v>229</v>
      </c>
      <c r="B1031" s="78">
        <v>841</v>
      </c>
      <c r="C1031" s="67" t="s">
        <v>109</v>
      </c>
      <c r="D1031" s="67" t="s">
        <v>24</v>
      </c>
      <c r="E1031" s="67" t="s">
        <v>233</v>
      </c>
      <c r="F1031" s="67" t="s">
        <v>660</v>
      </c>
      <c r="G1031" s="96">
        <v>3367.6</v>
      </c>
      <c r="H1031" s="104"/>
      <c r="I1031" s="99">
        <f t="shared" si="101"/>
        <v>3367.6</v>
      </c>
      <c r="J1031" s="104"/>
      <c r="K1031" s="96">
        <f t="shared" si="98"/>
        <v>3367.6</v>
      </c>
      <c r="L1031" s="106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ht="16.5">
      <c r="A1032" s="136" t="s">
        <v>294</v>
      </c>
      <c r="B1032" s="78">
        <v>841</v>
      </c>
      <c r="C1032" s="79" t="s">
        <v>106</v>
      </c>
      <c r="D1032" s="79"/>
      <c r="E1032" s="67"/>
      <c r="F1032" s="67"/>
      <c r="G1032" s="96">
        <f>G1033+G1041</f>
        <v>19724.2</v>
      </c>
      <c r="H1032" s="99">
        <f>H1033+H1041</f>
        <v>4370</v>
      </c>
      <c r="I1032" s="99">
        <f t="shared" si="101"/>
        <v>24094.2</v>
      </c>
      <c r="J1032" s="99">
        <f>J1033+J1041+J1037</f>
        <v>15133.9</v>
      </c>
      <c r="K1032" s="96">
        <f t="shared" si="98"/>
        <v>39228.1</v>
      </c>
      <c r="L1032" s="106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ht="16.5">
      <c r="A1033" s="136" t="s">
        <v>658</v>
      </c>
      <c r="B1033" s="78">
        <v>841</v>
      </c>
      <c r="C1033" s="67" t="s">
        <v>106</v>
      </c>
      <c r="D1033" s="67" t="s">
        <v>24</v>
      </c>
      <c r="E1033" s="67"/>
      <c r="F1033" s="67"/>
      <c r="G1033" s="96">
        <f aca="true" t="shared" si="107" ref="G1033:J1035">SUM(G1034)</f>
        <v>19724.2</v>
      </c>
      <c r="H1033" s="99">
        <f t="shared" si="107"/>
        <v>4370</v>
      </c>
      <c r="I1033" s="99">
        <f t="shared" si="101"/>
        <v>24094.2</v>
      </c>
      <c r="J1033" s="99">
        <f t="shared" si="107"/>
        <v>12983.9</v>
      </c>
      <c r="K1033" s="96">
        <f t="shared" si="98"/>
        <v>37078.1</v>
      </c>
      <c r="L1033" s="106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ht="18.75" customHeight="1">
      <c r="A1034" s="135" t="s">
        <v>387</v>
      </c>
      <c r="B1034" s="78">
        <v>841</v>
      </c>
      <c r="C1034" s="67" t="s">
        <v>106</v>
      </c>
      <c r="D1034" s="67" t="s">
        <v>24</v>
      </c>
      <c r="E1034" s="67" t="s">
        <v>210</v>
      </c>
      <c r="F1034" s="67"/>
      <c r="G1034" s="96">
        <f t="shared" si="107"/>
        <v>19724.2</v>
      </c>
      <c r="H1034" s="99">
        <f t="shared" si="107"/>
        <v>4370</v>
      </c>
      <c r="I1034" s="99">
        <f t="shared" si="101"/>
        <v>24094.2</v>
      </c>
      <c r="J1034" s="99">
        <f t="shared" si="107"/>
        <v>12983.9</v>
      </c>
      <c r="K1034" s="96">
        <f t="shared" si="98"/>
        <v>37078.1</v>
      </c>
      <c r="L1034" s="106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ht="20.25" customHeight="1">
      <c r="A1035" s="136" t="s">
        <v>480</v>
      </c>
      <c r="B1035" s="78">
        <v>841</v>
      </c>
      <c r="C1035" s="67" t="s">
        <v>106</v>
      </c>
      <c r="D1035" s="67" t="s">
        <v>24</v>
      </c>
      <c r="E1035" s="67" t="s">
        <v>211</v>
      </c>
      <c r="F1035" s="67"/>
      <c r="G1035" s="96">
        <f t="shared" si="107"/>
        <v>19724.2</v>
      </c>
      <c r="H1035" s="99">
        <f t="shared" si="107"/>
        <v>4370</v>
      </c>
      <c r="I1035" s="99">
        <f t="shared" si="101"/>
        <v>24094.2</v>
      </c>
      <c r="J1035" s="99">
        <f t="shared" si="107"/>
        <v>12983.9</v>
      </c>
      <c r="K1035" s="96">
        <f t="shared" si="98"/>
        <v>37078.1</v>
      </c>
      <c r="L1035" s="106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ht="16.5">
      <c r="A1036" s="124" t="s">
        <v>63</v>
      </c>
      <c r="B1036" s="78">
        <v>841</v>
      </c>
      <c r="C1036" s="67" t="s">
        <v>106</v>
      </c>
      <c r="D1036" s="67" t="s">
        <v>24</v>
      </c>
      <c r="E1036" s="67" t="s">
        <v>211</v>
      </c>
      <c r="F1036" s="67" t="s">
        <v>660</v>
      </c>
      <c r="G1036" s="96">
        <v>19724.2</v>
      </c>
      <c r="H1036" s="104">
        <f>1988+2020+362</f>
        <v>4370</v>
      </c>
      <c r="I1036" s="99">
        <f t="shared" si="101"/>
        <v>24094.2</v>
      </c>
      <c r="J1036" s="104">
        <f>8883.9+3000+1100</f>
        <v>12983.9</v>
      </c>
      <c r="K1036" s="96">
        <f t="shared" si="98"/>
        <v>37078.1</v>
      </c>
      <c r="L1036" s="106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ht="16.5">
      <c r="A1037" s="136" t="s">
        <v>794</v>
      </c>
      <c r="B1037" s="78">
        <v>841</v>
      </c>
      <c r="C1037" s="67" t="s">
        <v>106</v>
      </c>
      <c r="D1037" s="67" t="s">
        <v>25</v>
      </c>
      <c r="E1037" s="67"/>
      <c r="F1037" s="67"/>
      <c r="G1037" s="96"/>
      <c r="H1037" s="104"/>
      <c r="I1037" s="99"/>
      <c r="J1037" s="104">
        <f>J1038</f>
        <v>2150</v>
      </c>
      <c r="K1037" s="96">
        <f t="shared" si="98"/>
        <v>2150</v>
      </c>
      <c r="L1037" s="106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ht="16.5">
      <c r="A1038" s="136" t="s">
        <v>795</v>
      </c>
      <c r="B1038" s="78">
        <v>841</v>
      </c>
      <c r="C1038" s="67" t="s">
        <v>106</v>
      </c>
      <c r="D1038" s="67" t="s">
        <v>25</v>
      </c>
      <c r="E1038" s="67" t="s">
        <v>214</v>
      </c>
      <c r="F1038" s="67"/>
      <c r="G1038" s="96"/>
      <c r="H1038" s="104"/>
      <c r="I1038" s="99"/>
      <c r="J1038" s="104">
        <f>J1039</f>
        <v>2150</v>
      </c>
      <c r="K1038" s="96">
        <f t="shared" si="98"/>
        <v>2150</v>
      </c>
      <c r="L1038" s="106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ht="16.5">
      <c r="A1039" s="136" t="s">
        <v>655</v>
      </c>
      <c r="B1039" s="78">
        <v>841</v>
      </c>
      <c r="C1039" s="67" t="s">
        <v>106</v>
      </c>
      <c r="D1039" s="67" t="s">
        <v>25</v>
      </c>
      <c r="E1039" s="67" t="s">
        <v>215</v>
      </c>
      <c r="F1039" s="67"/>
      <c r="G1039" s="96"/>
      <c r="H1039" s="104"/>
      <c r="I1039" s="99"/>
      <c r="J1039" s="104">
        <f>J1040</f>
        <v>2150</v>
      </c>
      <c r="K1039" s="96">
        <f t="shared" si="98"/>
        <v>2150</v>
      </c>
      <c r="L1039" s="106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ht="16.5">
      <c r="A1040" s="124" t="s">
        <v>63</v>
      </c>
      <c r="B1040" s="78">
        <v>841</v>
      </c>
      <c r="C1040" s="67" t="s">
        <v>106</v>
      </c>
      <c r="D1040" s="67" t="s">
        <v>25</v>
      </c>
      <c r="E1040" s="67" t="s">
        <v>215</v>
      </c>
      <c r="F1040" s="67" t="s">
        <v>660</v>
      </c>
      <c r="G1040" s="96"/>
      <c r="H1040" s="104"/>
      <c r="I1040" s="99"/>
      <c r="J1040" s="104">
        <f>100+2000+50</f>
        <v>2150</v>
      </c>
      <c r="K1040" s="96">
        <f t="shared" si="98"/>
        <v>2150</v>
      </c>
      <c r="L1040" s="106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ht="16.5" hidden="1">
      <c r="A1041" s="135" t="s">
        <v>608</v>
      </c>
      <c r="B1041" s="78">
        <v>841</v>
      </c>
      <c r="C1041" s="67" t="s">
        <v>106</v>
      </c>
      <c r="D1041" s="67" t="s">
        <v>106</v>
      </c>
      <c r="E1041" s="67"/>
      <c r="F1041" s="67"/>
      <c r="G1041" s="96">
        <f>G1042</f>
        <v>0</v>
      </c>
      <c r="H1041" s="104"/>
      <c r="I1041" s="99">
        <f t="shared" si="101"/>
        <v>0</v>
      </c>
      <c r="J1041" s="104"/>
      <c r="K1041" s="96">
        <f t="shared" si="98"/>
        <v>0</v>
      </c>
      <c r="L1041" s="106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ht="16.5" hidden="1">
      <c r="A1042" s="120" t="s">
        <v>367</v>
      </c>
      <c r="B1042" s="78">
        <v>841</v>
      </c>
      <c r="C1042" s="67" t="s">
        <v>106</v>
      </c>
      <c r="D1042" s="67" t="s">
        <v>106</v>
      </c>
      <c r="E1042" s="67" t="s">
        <v>471</v>
      </c>
      <c r="F1042" s="67"/>
      <c r="G1042" s="96">
        <f>G1043</f>
        <v>0</v>
      </c>
      <c r="H1042" s="104"/>
      <c r="I1042" s="99">
        <f t="shared" si="101"/>
        <v>0</v>
      </c>
      <c r="J1042" s="104"/>
      <c r="K1042" s="96">
        <f aca="true" t="shared" si="108" ref="K1042:K1105">I1042+J1042</f>
        <v>0</v>
      </c>
      <c r="L1042" s="106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ht="33" hidden="1">
      <c r="A1043" s="124" t="s">
        <v>638</v>
      </c>
      <c r="B1043" s="78">
        <v>841</v>
      </c>
      <c r="C1043" s="67" t="s">
        <v>106</v>
      </c>
      <c r="D1043" s="67" t="s">
        <v>106</v>
      </c>
      <c r="E1043" s="67" t="s">
        <v>144</v>
      </c>
      <c r="F1043" s="67"/>
      <c r="G1043" s="96">
        <f>G1044</f>
        <v>0</v>
      </c>
      <c r="H1043" s="104"/>
      <c r="I1043" s="99">
        <f t="shared" si="101"/>
        <v>0</v>
      </c>
      <c r="J1043" s="104"/>
      <c r="K1043" s="96">
        <f t="shared" si="108"/>
        <v>0</v>
      </c>
      <c r="L1043" s="106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ht="33" hidden="1">
      <c r="A1044" s="135" t="s">
        <v>584</v>
      </c>
      <c r="B1044" s="78">
        <v>841</v>
      </c>
      <c r="C1044" s="67" t="s">
        <v>106</v>
      </c>
      <c r="D1044" s="67" t="s">
        <v>106</v>
      </c>
      <c r="E1044" s="67" t="s">
        <v>144</v>
      </c>
      <c r="F1044" s="67" t="s">
        <v>337</v>
      </c>
      <c r="G1044" s="96"/>
      <c r="H1044" s="104"/>
      <c r="I1044" s="99">
        <f t="shared" si="101"/>
        <v>0</v>
      </c>
      <c r="J1044" s="104"/>
      <c r="K1044" s="96">
        <f t="shared" si="108"/>
        <v>0</v>
      </c>
      <c r="L1044" s="106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47" customFormat="1" ht="16.5">
      <c r="A1045" s="137" t="s">
        <v>168</v>
      </c>
      <c r="B1045" s="78">
        <v>841</v>
      </c>
      <c r="C1045" s="67"/>
      <c r="D1045" s="67"/>
      <c r="E1045" s="67"/>
      <c r="F1045" s="67"/>
      <c r="G1045" s="96">
        <f>G1052+G1119+G1144+G1156+G1113+G1046</f>
        <v>720833.1000000001</v>
      </c>
      <c r="H1045" s="99">
        <f>H1052+H1119+H1144+H1156+H1113+H1046+H1164</f>
        <v>-44742.8</v>
      </c>
      <c r="I1045" s="99">
        <f t="shared" si="101"/>
        <v>676090.3</v>
      </c>
      <c r="J1045" s="99">
        <f>J1052+J1119+J1144+J1156+J1113+J1046+J1164</f>
        <v>82205</v>
      </c>
      <c r="K1045" s="96">
        <f t="shared" si="108"/>
        <v>758295.3</v>
      </c>
      <c r="L1045" s="106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12" s="38" customFormat="1" ht="16.5">
      <c r="A1046" s="120" t="s">
        <v>537</v>
      </c>
      <c r="B1046" s="78">
        <v>841</v>
      </c>
      <c r="C1046" s="67" t="s">
        <v>27</v>
      </c>
      <c r="D1046" s="67"/>
      <c r="E1046" s="67"/>
      <c r="F1046" s="67"/>
      <c r="G1046" s="96">
        <f aca="true" t="shared" si="109" ref="G1046:J1050">G1047</f>
        <v>12000</v>
      </c>
      <c r="H1046" s="99">
        <f t="shared" si="109"/>
        <v>-8000</v>
      </c>
      <c r="I1046" s="99">
        <f t="shared" si="101"/>
        <v>4000</v>
      </c>
      <c r="J1046" s="99">
        <f t="shared" si="109"/>
        <v>0</v>
      </c>
      <c r="K1046" s="96">
        <f t="shared" si="108"/>
        <v>4000</v>
      </c>
      <c r="L1046" s="106"/>
    </row>
    <row r="1047" spans="1:12" s="38" customFormat="1" ht="16.5">
      <c r="A1047" s="136" t="s">
        <v>437</v>
      </c>
      <c r="B1047" s="78">
        <v>841</v>
      </c>
      <c r="C1047" s="67" t="s">
        <v>27</v>
      </c>
      <c r="D1047" s="67" t="s">
        <v>626</v>
      </c>
      <c r="E1047" s="67"/>
      <c r="F1047" s="67"/>
      <c r="G1047" s="96">
        <f t="shared" si="109"/>
        <v>12000</v>
      </c>
      <c r="H1047" s="99">
        <f t="shared" si="109"/>
        <v>-8000</v>
      </c>
      <c r="I1047" s="99">
        <f t="shared" si="101"/>
        <v>4000</v>
      </c>
      <c r="J1047" s="99">
        <f t="shared" si="109"/>
        <v>0</v>
      </c>
      <c r="K1047" s="96">
        <f t="shared" si="108"/>
        <v>4000</v>
      </c>
      <c r="L1047" s="106"/>
    </row>
    <row r="1048" spans="1:12" s="38" customFormat="1" ht="33">
      <c r="A1048" s="124" t="s">
        <v>268</v>
      </c>
      <c r="B1048" s="78">
        <v>841</v>
      </c>
      <c r="C1048" s="67" t="s">
        <v>27</v>
      </c>
      <c r="D1048" s="67" t="s">
        <v>626</v>
      </c>
      <c r="E1048" s="67" t="s">
        <v>483</v>
      </c>
      <c r="F1048" s="67"/>
      <c r="G1048" s="96">
        <f t="shared" si="109"/>
        <v>12000</v>
      </c>
      <c r="H1048" s="99">
        <f t="shared" si="109"/>
        <v>-8000</v>
      </c>
      <c r="I1048" s="99">
        <f t="shared" si="101"/>
        <v>4000</v>
      </c>
      <c r="J1048" s="99">
        <f t="shared" si="109"/>
        <v>0</v>
      </c>
      <c r="K1048" s="96">
        <f t="shared" si="108"/>
        <v>4000</v>
      </c>
      <c r="L1048" s="106"/>
    </row>
    <row r="1049" spans="1:12" s="38" customFormat="1" ht="16.5">
      <c r="A1049" s="124" t="s">
        <v>7</v>
      </c>
      <c r="B1049" s="78">
        <v>841</v>
      </c>
      <c r="C1049" s="67" t="s">
        <v>27</v>
      </c>
      <c r="D1049" s="67" t="s">
        <v>626</v>
      </c>
      <c r="E1049" s="67" t="s">
        <v>33</v>
      </c>
      <c r="F1049" s="67"/>
      <c r="G1049" s="96">
        <f t="shared" si="109"/>
        <v>12000</v>
      </c>
      <c r="H1049" s="99">
        <f t="shared" si="109"/>
        <v>-8000</v>
      </c>
      <c r="I1049" s="99">
        <f t="shared" si="101"/>
        <v>4000</v>
      </c>
      <c r="J1049" s="99">
        <f t="shared" si="109"/>
        <v>0</v>
      </c>
      <c r="K1049" s="96">
        <f t="shared" si="108"/>
        <v>4000</v>
      </c>
      <c r="L1049" s="106"/>
    </row>
    <row r="1050" spans="1:12" s="38" customFormat="1" ht="16.5">
      <c r="A1050" s="124" t="s">
        <v>343</v>
      </c>
      <c r="B1050" s="78">
        <v>841</v>
      </c>
      <c r="C1050" s="67" t="s">
        <v>27</v>
      </c>
      <c r="D1050" s="67" t="s">
        <v>626</v>
      </c>
      <c r="E1050" s="67" t="s">
        <v>36</v>
      </c>
      <c r="F1050" s="67"/>
      <c r="G1050" s="96">
        <f t="shared" si="109"/>
        <v>12000</v>
      </c>
      <c r="H1050" s="99">
        <f t="shared" si="109"/>
        <v>-8000</v>
      </c>
      <c r="I1050" s="99">
        <f t="shared" si="101"/>
        <v>4000</v>
      </c>
      <c r="J1050" s="99">
        <f t="shared" si="109"/>
        <v>0</v>
      </c>
      <c r="K1050" s="96">
        <f t="shared" si="108"/>
        <v>4000</v>
      </c>
      <c r="L1050" s="106"/>
    </row>
    <row r="1051" spans="1:12" s="38" customFormat="1" ht="16.5">
      <c r="A1051" s="135" t="s">
        <v>271</v>
      </c>
      <c r="B1051" s="78">
        <v>841</v>
      </c>
      <c r="C1051" s="67" t="s">
        <v>27</v>
      </c>
      <c r="D1051" s="67" t="s">
        <v>626</v>
      </c>
      <c r="E1051" s="67" t="s">
        <v>36</v>
      </c>
      <c r="F1051" s="67" t="s">
        <v>49</v>
      </c>
      <c r="G1051" s="96">
        <f>10000+2000</f>
        <v>12000</v>
      </c>
      <c r="H1051" s="104">
        <v>-8000</v>
      </c>
      <c r="I1051" s="99">
        <f t="shared" si="101"/>
        <v>4000</v>
      </c>
      <c r="J1051" s="104"/>
      <c r="K1051" s="96">
        <f t="shared" si="108"/>
        <v>4000</v>
      </c>
      <c r="L1051" s="106"/>
    </row>
    <row r="1052" spans="1:26" s="48" customFormat="1" ht="18.75" customHeight="1">
      <c r="A1052" s="124" t="s">
        <v>481</v>
      </c>
      <c r="B1052" s="78">
        <v>841</v>
      </c>
      <c r="C1052" s="67" t="s">
        <v>34</v>
      </c>
      <c r="D1052" s="67"/>
      <c r="E1052" s="67"/>
      <c r="F1052" s="67"/>
      <c r="G1052" s="96">
        <f>G1053+G1071+G1089</f>
        <v>595362.3</v>
      </c>
      <c r="H1052" s="99">
        <f>H1053+H1071+H1089+H1066</f>
        <v>-20602.800000000003</v>
      </c>
      <c r="I1052" s="99">
        <f t="shared" si="101"/>
        <v>574759.5</v>
      </c>
      <c r="J1052" s="99">
        <f>J1053+J1071+J1089+J1066</f>
        <v>67225</v>
      </c>
      <c r="K1052" s="96">
        <f t="shared" si="108"/>
        <v>641984.5</v>
      </c>
      <c r="L1052" s="106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ht="18" customHeight="1" hidden="1">
      <c r="A1053" s="136" t="s">
        <v>113</v>
      </c>
      <c r="B1053" s="78">
        <v>841</v>
      </c>
      <c r="C1053" s="67" t="s">
        <v>108</v>
      </c>
      <c r="D1053" s="67" t="s">
        <v>24</v>
      </c>
      <c r="E1053" s="67"/>
      <c r="F1053" s="67"/>
      <c r="G1053" s="96">
        <f>SUM(G1054)</f>
        <v>0</v>
      </c>
      <c r="H1053" s="99">
        <f>SUM(H1054)</f>
        <v>0</v>
      </c>
      <c r="I1053" s="99">
        <f t="shared" si="101"/>
        <v>0</v>
      </c>
      <c r="J1053" s="99">
        <f>SUM(J1054)</f>
        <v>0</v>
      </c>
      <c r="K1053" s="96">
        <f t="shared" si="108"/>
        <v>0</v>
      </c>
      <c r="L1053" s="106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ht="18" customHeight="1" hidden="1">
      <c r="A1054" s="124" t="s">
        <v>268</v>
      </c>
      <c r="B1054" s="78">
        <v>841</v>
      </c>
      <c r="C1054" s="67" t="s">
        <v>108</v>
      </c>
      <c r="D1054" s="67" t="s">
        <v>24</v>
      </c>
      <c r="E1054" s="67" t="s">
        <v>483</v>
      </c>
      <c r="F1054" s="67"/>
      <c r="G1054" s="96">
        <f>SUM(G1059,G1055)</f>
        <v>0</v>
      </c>
      <c r="H1054" s="99">
        <f>SUM(H1059,H1055)</f>
        <v>0</v>
      </c>
      <c r="I1054" s="99">
        <f t="shared" si="101"/>
        <v>0</v>
      </c>
      <c r="J1054" s="99">
        <f>SUM(J1059,J1055)</f>
        <v>0</v>
      </c>
      <c r="K1054" s="96">
        <f t="shared" si="108"/>
        <v>0</v>
      </c>
      <c r="L1054" s="106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ht="55.5" customHeight="1" hidden="1">
      <c r="A1055" s="124" t="s">
        <v>123</v>
      </c>
      <c r="B1055" s="78">
        <v>841</v>
      </c>
      <c r="C1055" s="67" t="s">
        <v>108</v>
      </c>
      <c r="D1055" s="67" t="s">
        <v>24</v>
      </c>
      <c r="E1055" s="67" t="s">
        <v>120</v>
      </c>
      <c r="F1055" s="67"/>
      <c r="G1055" s="96">
        <f>G1056</f>
        <v>0</v>
      </c>
      <c r="H1055" s="99">
        <f>H1056</f>
        <v>0</v>
      </c>
      <c r="I1055" s="99">
        <f t="shared" si="101"/>
        <v>0</v>
      </c>
      <c r="J1055" s="99">
        <f>J1056</f>
        <v>0</v>
      </c>
      <c r="K1055" s="96">
        <f t="shared" si="108"/>
        <v>0</v>
      </c>
      <c r="L1055" s="106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ht="35.25" customHeight="1" hidden="1">
      <c r="A1056" s="124" t="s">
        <v>270</v>
      </c>
      <c r="B1056" s="78">
        <v>841</v>
      </c>
      <c r="C1056" s="67" t="s">
        <v>108</v>
      </c>
      <c r="D1056" s="67" t="s">
        <v>24</v>
      </c>
      <c r="E1056" s="67" t="s">
        <v>485</v>
      </c>
      <c r="F1056" s="67"/>
      <c r="G1056" s="96">
        <f>SUM(G1057:G1058)</f>
        <v>0</v>
      </c>
      <c r="H1056" s="99">
        <f>SUM(H1057:H1058)</f>
        <v>0</v>
      </c>
      <c r="I1056" s="99">
        <f t="shared" si="101"/>
        <v>0</v>
      </c>
      <c r="J1056" s="99">
        <f>SUM(J1057:J1058)</f>
        <v>0</v>
      </c>
      <c r="K1056" s="96">
        <f t="shared" si="108"/>
        <v>0</v>
      </c>
      <c r="L1056" s="106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ht="21" customHeight="1" hidden="1">
      <c r="A1057" s="124" t="s">
        <v>322</v>
      </c>
      <c r="B1057" s="78">
        <v>841</v>
      </c>
      <c r="C1057" s="67" t="s">
        <v>108</v>
      </c>
      <c r="D1057" s="67" t="s">
        <v>24</v>
      </c>
      <c r="E1057" s="67" t="s">
        <v>485</v>
      </c>
      <c r="F1057" s="67" t="s">
        <v>126</v>
      </c>
      <c r="G1057" s="96"/>
      <c r="H1057" s="99"/>
      <c r="I1057" s="99">
        <f t="shared" si="101"/>
        <v>0</v>
      </c>
      <c r="J1057" s="99"/>
      <c r="K1057" s="96">
        <f t="shared" si="108"/>
        <v>0</v>
      </c>
      <c r="L1057" s="106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ht="18.75" customHeight="1" hidden="1">
      <c r="A1058" s="124" t="s">
        <v>406</v>
      </c>
      <c r="B1058" s="78">
        <v>841</v>
      </c>
      <c r="C1058" s="67" t="s">
        <v>108</v>
      </c>
      <c r="D1058" s="67" t="s">
        <v>24</v>
      </c>
      <c r="E1058" s="67" t="s">
        <v>485</v>
      </c>
      <c r="F1058" s="67" t="s">
        <v>128</v>
      </c>
      <c r="G1058" s="96"/>
      <c r="H1058" s="99"/>
      <c r="I1058" s="99">
        <f t="shared" si="101"/>
        <v>0</v>
      </c>
      <c r="J1058" s="99"/>
      <c r="K1058" s="96">
        <f t="shared" si="108"/>
        <v>0</v>
      </c>
      <c r="L1058" s="106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ht="18" customHeight="1" hidden="1">
      <c r="A1059" s="124" t="s">
        <v>7</v>
      </c>
      <c r="B1059" s="78">
        <v>841</v>
      </c>
      <c r="C1059" s="67" t="s">
        <v>108</v>
      </c>
      <c r="D1059" s="67" t="s">
        <v>24</v>
      </c>
      <c r="E1059" s="67" t="s">
        <v>33</v>
      </c>
      <c r="F1059" s="67"/>
      <c r="G1059" s="96">
        <f aca="true" t="shared" si="110" ref="G1059:J1060">SUM(G1060)</f>
        <v>0</v>
      </c>
      <c r="H1059" s="99">
        <f t="shared" si="110"/>
        <v>0</v>
      </c>
      <c r="I1059" s="99">
        <f t="shared" si="101"/>
        <v>0</v>
      </c>
      <c r="J1059" s="99">
        <f t="shared" si="110"/>
        <v>0</v>
      </c>
      <c r="K1059" s="96">
        <f t="shared" si="108"/>
        <v>0</v>
      </c>
      <c r="L1059" s="106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ht="18.75" customHeight="1" hidden="1">
      <c r="A1060" s="124" t="s">
        <v>323</v>
      </c>
      <c r="B1060" s="78">
        <v>841</v>
      </c>
      <c r="C1060" s="67" t="s">
        <v>108</v>
      </c>
      <c r="D1060" s="67" t="s">
        <v>24</v>
      </c>
      <c r="E1060" s="67" t="s">
        <v>35</v>
      </c>
      <c r="F1060" s="67"/>
      <c r="G1060" s="96">
        <f t="shared" si="110"/>
        <v>0</v>
      </c>
      <c r="H1060" s="99">
        <f t="shared" si="110"/>
        <v>0</v>
      </c>
      <c r="I1060" s="99">
        <f t="shared" si="101"/>
        <v>0</v>
      </c>
      <c r="J1060" s="99">
        <f t="shared" si="110"/>
        <v>0</v>
      </c>
      <c r="K1060" s="96">
        <f t="shared" si="108"/>
        <v>0</v>
      </c>
      <c r="L1060" s="106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ht="16.5" hidden="1">
      <c r="A1061" s="135" t="s">
        <v>271</v>
      </c>
      <c r="B1061" s="78">
        <v>841</v>
      </c>
      <c r="C1061" s="67" t="s">
        <v>108</v>
      </c>
      <c r="D1061" s="67" t="s">
        <v>24</v>
      </c>
      <c r="E1061" s="67" t="s">
        <v>35</v>
      </c>
      <c r="F1061" s="67" t="s">
        <v>49</v>
      </c>
      <c r="G1061" s="96"/>
      <c r="H1061" s="99"/>
      <c r="I1061" s="99">
        <f t="shared" si="101"/>
        <v>0</v>
      </c>
      <c r="J1061" s="99"/>
      <c r="K1061" s="96">
        <f t="shared" si="108"/>
        <v>0</v>
      </c>
      <c r="L1061" s="106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ht="16.5" hidden="1">
      <c r="A1062" s="135" t="s">
        <v>240</v>
      </c>
      <c r="B1062" s="78">
        <v>841</v>
      </c>
      <c r="C1062" s="67" t="s">
        <v>108</v>
      </c>
      <c r="D1062" s="67" t="s">
        <v>24</v>
      </c>
      <c r="E1062" s="67"/>
      <c r="F1062" s="67"/>
      <c r="G1062" s="96">
        <f aca="true" t="shared" si="111" ref="G1062:J1063">SUM(G1063)</f>
        <v>0</v>
      </c>
      <c r="H1062" s="99">
        <f t="shared" si="111"/>
        <v>0</v>
      </c>
      <c r="I1062" s="99">
        <f t="shared" si="101"/>
        <v>0</v>
      </c>
      <c r="J1062" s="99">
        <f t="shared" si="111"/>
        <v>0</v>
      </c>
      <c r="K1062" s="96">
        <f t="shared" si="108"/>
        <v>0</v>
      </c>
      <c r="L1062" s="106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ht="33" hidden="1">
      <c r="A1063" s="124" t="s">
        <v>268</v>
      </c>
      <c r="B1063" s="78">
        <v>841</v>
      </c>
      <c r="C1063" s="67" t="s">
        <v>108</v>
      </c>
      <c r="D1063" s="67" t="s">
        <v>24</v>
      </c>
      <c r="E1063" s="67" t="s">
        <v>483</v>
      </c>
      <c r="F1063" s="67"/>
      <c r="G1063" s="96">
        <f t="shared" si="111"/>
        <v>0</v>
      </c>
      <c r="H1063" s="99">
        <f t="shared" si="111"/>
        <v>0</v>
      </c>
      <c r="I1063" s="99">
        <f t="shared" si="101"/>
        <v>0</v>
      </c>
      <c r="J1063" s="99">
        <f t="shared" si="111"/>
        <v>0</v>
      </c>
      <c r="K1063" s="96">
        <f t="shared" si="108"/>
        <v>0</v>
      </c>
      <c r="L1063" s="106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ht="16.5" hidden="1">
      <c r="A1064" s="124" t="s">
        <v>844</v>
      </c>
      <c r="B1064" s="78">
        <v>841</v>
      </c>
      <c r="C1064" s="67" t="s">
        <v>108</v>
      </c>
      <c r="D1064" s="67" t="s">
        <v>24</v>
      </c>
      <c r="E1064" s="67" t="s">
        <v>33</v>
      </c>
      <c r="F1064" s="67"/>
      <c r="G1064" s="96">
        <f>G1065</f>
        <v>0</v>
      </c>
      <c r="H1064" s="99">
        <f>H1065</f>
        <v>0</v>
      </c>
      <c r="I1064" s="99">
        <f t="shared" si="101"/>
        <v>0</v>
      </c>
      <c r="J1064" s="99">
        <f>J1065</f>
        <v>0</v>
      </c>
      <c r="K1064" s="96">
        <f t="shared" si="108"/>
        <v>0</v>
      </c>
      <c r="L1064" s="106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ht="16.5" hidden="1">
      <c r="A1065" s="124" t="s">
        <v>343</v>
      </c>
      <c r="B1065" s="78">
        <v>841</v>
      </c>
      <c r="C1065" s="67" t="s">
        <v>108</v>
      </c>
      <c r="D1065" s="67" t="s">
        <v>24</v>
      </c>
      <c r="E1065" s="67" t="s">
        <v>36</v>
      </c>
      <c r="F1065" s="67" t="s">
        <v>49</v>
      </c>
      <c r="G1065" s="96"/>
      <c r="H1065" s="99"/>
      <c r="I1065" s="99">
        <f t="shared" si="101"/>
        <v>0</v>
      </c>
      <c r="J1065" s="99"/>
      <c r="K1065" s="96">
        <f t="shared" si="108"/>
        <v>0</v>
      </c>
      <c r="L1065" s="106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ht="16.5">
      <c r="A1066" s="124" t="s">
        <v>113</v>
      </c>
      <c r="B1066" s="78">
        <v>841</v>
      </c>
      <c r="C1066" s="67" t="s">
        <v>108</v>
      </c>
      <c r="D1066" s="67" t="s">
        <v>24</v>
      </c>
      <c r="E1066" s="67"/>
      <c r="F1066" s="67"/>
      <c r="G1066" s="96"/>
      <c r="H1066" s="99">
        <f aca="true" t="shared" si="112" ref="H1066:J1069">H1067</f>
        <v>2000</v>
      </c>
      <c r="I1066" s="99">
        <f t="shared" si="101"/>
        <v>2000</v>
      </c>
      <c r="J1066" s="99">
        <f t="shared" si="112"/>
        <v>0</v>
      </c>
      <c r="K1066" s="96">
        <f t="shared" si="108"/>
        <v>2000</v>
      </c>
      <c r="L1066" s="106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ht="33">
      <c r="A1067" s="124" t="s">
        <v>268</v>
      </c>
      <c r="B1067" s="78">
        <v>841</v>
      </c>
      <c r="C1067" s="67" t="s">
        <v>108</v>
      </c>
      <c r="D1067" s="67" t="s">
        <v>24</v>
      </c>
      <c r="E1067" s="67" t="s">
        <v>483</v>
      </c>
      <c r="F1067" s="67"/>
      <c r="G1067" s="96"/>
      <c r="H1067" s="99">
        <f t="shared" si="112"/>
        <v>2000</v>
      </c>
      <c r="I1067" s="99">
        <f t="shared" si="101"/>
        <v>2000</v>
      </c>
      <c r="J1067" s="99">
        <f t="shared" si="112"/>
        <v>0</v>
      </c>
      <c r="K1067" s="96">
        <f t="shared" si="108"/>
        <v>2000</v>
      </c>
      <c r="L1067" s="106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ht="16.5">
      <c r="A1068" s="124" t="s">
        <v>7</v>
      </c>
      <c r="B1068" s="78">
        <v>841</v>
      </c>
      <c r="C1068" s="67" t="s">
        <v>108</v>
      </c>
      <c r="D1068" s="67" t="s">
        <v>24</v>
      </c>
      <c r="E1068" s="67" t="s">
        <v>33</v>
      </c>
      <c r="F1068" s="67"/>
      <c r="G1068" s="96"/>
      <c r="H1068" s="99">
        <f t="shared" si="112"/>
        <v>2000</v>
      </c>
      <c r="I1068" s="99">
        <f t="shared" si="101"/>
        <v>2000</v>
      </c>
      <c r="J1068" s="99">
        <f t="shared" si="112"/>
        <v>0</v>
      </c>
      <c r="K1068" s="96">
        <f t="shared" si="108"/>
        <v>2000</v>
      </c>
      <c r="L1068" s="106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ht="16.5">
      <c r="A1069" s="124" t="s">
        <v>343</v>
      </c>
      <c r="B1069" s="78">
        <v>841</v>
      </c>
      <c r="C1069" s="67" t="s">
        <v>108</v>
      </c>
      <c r="D1069" s="67" t="s">
        <v>24</v>
      </c>
      <c r="E1069" s="67" t="s">
        <v>36</v>
      </c>
      <c r="F1069" s="67"/>
      <c r="G1069" s="96"/>
      <c r="H1069" s="99">
        <f t="shared" si="112"/>
        <v>2000</v>
      </c>
      <c r="I1069" s="99">
        <f t="shared" si="101"/>
        <v>2000</v>
      </c>
      <c r="J1069" s="99">
        <f t="shared" si="112"/>
        <v>0</v>
      </c>
      <c r="K1069" s="96">
        <f t="shared" si="108"/>
        <v>2000</v>
      </c>
      <c r="L1069" s="106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ht="16.5">
      <c r="A1070" s="135" t="s">
        <v>271</v>
      </c>
      <c r="B1070" s="78">
        <v>841</v>
      </c>
      <c r="C1070" s="67" t="s">
        <v>108</v>
      </c>
      <c r="D1070" s="67" t="s">
        <v>24</v>
      </c>
      <c r="E1070" s="67" t="s">
        <v>36</v>
      </c>
      <c r="F1070" s="67" t="s">
        <v>49</v>
      </c>
      <c r="G1070" s="96"/>
      <c r="H1070" s="99">
        <v>2000</v>
      </c>
      <c r="I1070" s="99">
        <f t="shared" si="101"/>
        <v>2000</v>
      </c>
      <c r="J1070" s="99"/>
      <c r="K1070" s="96">
        <f t="shared" si="108"/>
        <v>2000</v>
      </c>
      <c r="L1070" s="106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ht="18.75" customHeight="1">
      <c r="A1071" s="135" t="s">
        <v>201</v>
      </c>
      <c r="B1071" s="78">
        <v>841</v>
      </c>
      <c r="C1071" s="67" t="s">
        <v>108</v>
      </c>
      <c r="D1071" s="67" t="s">
        <v>25</v>
      </c>
      <c r="E1071" s="67"/>
      <c r="F1071" s="67"/>
      <c r="G1071" s="96">
        <f>SUM(G1072)</f>
        <v>30000</v>
      </c>
      <c r="H1071" s="99">
        <f>SUM(H1072)</f>
        <v>4400</v>
      </c>
      <c r="I1071" s="99">
        <f t="shared" si="101"/>
        <v>34400</v>
      </c>
      <c r="J1071" s="99">
        <f>SUM(J1072)</f>
        <v>1000</v>
      </c>
      <c r="K1071" s="96">
        <f t="shared" si="108"/>
        <v>35400</v>
      </c>
      <c r="L1071" s="106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ht="34.5" customHeight="1">
      <c r="A1072" s="124" t="s">
        <v>268</v>
      </c>
      <c r="B1072" s="78">
        <v>841</v>
      </c>
      <c r="C1072" s="67" t="s">
        <v>108</v>
      </c>
      <c r="D1072" s="67" t="s">
        <v>25</v>
      </c>
      <c r="E1072" s="67" t="s">
        <v>483</v>
      </c>
      <c r="F1072" s="67"/>
      <c r="G1072" s="96">
        <f>SUM(G1076,G1073)</f>
        <v>30000</v>
      </c>
      <c r="H1072" s="99">
        <f>SUM(H1076,H1073)</f>
        <v>4400</v>
      </c>
      <c r="I1072" s="99">
        <f t="shared" si="101"/>
        <v>34400</v>
      </c>
      <c r="J1072" s="99">
        <f>SUM(J1076,J1073)</f>
        <v>1000</v>
      </c>
      <c r="K1072" s="96">
        <f t="shared" si="108"/>
        <v>35400</v>
      </c>
      <c r="L1072" s="106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ht="51" customHeight="1" hidden="1">
      <c r="A1073" s="124" t="s">
        <v>123</v>
      </c>
      <c r="B1073" s="78">
        <v>841</v>
      </c>
      <c r="C1073" s="67" t="s">
        <v>108</v>
      </c>
      <c r="D1073" s="67" t="s">
        <v>25</v>
      </c>
      <c r="E1073" s="67" t="s">
        <v>120</v>
      </c>
      <c r="F1073" s="67"/>
      <c r="G1073" s="96">
        <f aca="true" t="shared" si="113" ref="G1073:J1074">SUM(G1074)</f>
        <v>0</v>
      </c>
      <c r="H1073" s="99">
        <f t="shared" si="113"/>
        <v>0</v>
      </c>
      <c r="I1073" s="99">
        <f t="shared" si="101"/>
        <v>0</v>
      </c>
      <c r="J1073" s="99">
        <f t="shared" si="113"/>
        <v>0</v>
      </c>
      <c r="K1073" s="96">
        <f t="shared" si="108"/>
        <v>0</v>
      </c>
      <c r="L1073" s="106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ht="36.75" customHeight="1" hidden="1">
      <c r="A1074" s="124" t="s">
        <v>484</v>
      </c>
      <c r="B1074" s="78">
        <v>841</v>
      </c>
      <c r="C1074" s="67" t="s">
        <v>108</v>
      </c>
      <c r="D1074" s="67" t="s">
        <v>25</v>
      </c>
      <c r="E1074" s="67" t="s">
        <v>485</v>
      </c>
      <c r="F1074" s="67"/>
      <c r="G1074" s="96">
        <f t="shared" si="113"/>
        <v>0</v>
      </c>
      <c r="H1074" s="99">
        <f t="shared" si="113"/>
        <v>0</v>
      </c>
      <c r="I1074" s="99">
        <f t="shared" si="101"/>
        <v>0</v>
      </c>
      <c r="J1074" s="99">
        <f t="shared" si="113"/>
        <v>0</v>
      </c>
      <c r="K1074" s="96">
        <f t="shared" si="108"/>
        <v>0</v>
      </c>
      <c r="L1074" s="106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ht="19.5" customHeight="1" hidden="1">
      <c r="A1075" s="135" t="s">
        <v>704</v>
      </c>
      <c r="B1075" s="78">
        <v>841</v>
      </c>
      <c r="C1075" s="67" t="s">
        <v>108</v>
      </c>
      <c r="D1075" s="67" t="s">
        <v>25</v>
      </c>
      <c r="E1075" s="86" t="s">
        <v>129</v>
      </c>
      <c r="F1075" s="67" t="s">
        <v>130</v>
      </c>
      <c r="G1075" s="96"/>
      <c r="H1075" s="99"/>
      <c r="I1075" s="99">
        <f aca="true" t="shared" si="114" ref="I1075:I1145">H1075+G1075</f>
        <v>0</v>
      </c>
      <c r="J1075" s="99"/>
      <c r="K1075" s="96">
        <f t="shared" si="108"/>
        <v>0</v>
      </c>
      <c r="L1075" s="106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ht="18.75" customHeight="1">
      <c r="A1076" s="124" t="s">
        <v>7</v>
      </c>
      <c r="B1076" s="78">
        <v>841</v>
      </c>
      <c r="C1076" s="67" t="s">
        <v>108</v>
      </c>
      <c r="D1076" s="67" t="s">
        <v>25</v>
      </c>
      <c r="E1076" s="67" t="s">
        <v>33</v>
      </c>
      <c r="F1076" s="67"/>
      <c r="G1076" s="96">
        <f>SUM(G1077,G1079,G1083,G1085,G1081)</f>
        <v>30000</v>
      </c>
      <c r="H1076" s="99">
        <f>SUM(H1077,H1079,H1083,H1085,H1081,H1087)</f>
        <v>4400</v>
      </c>
      <c r="I1076" s="99">
        <f t="shared" si="114"/>
        <v>34400</v>
      </c>
      <c r="J1076" s="99">
        <f>SUM(J1077,J1079,J1083,J1085,J1081,J1087)</f>
        <v>1000</v>
      </c>
      <c r="K1076" s="96">
        <f t="shared" si="108"/>
        <v>35400</v>
      </c>
      <c r="L1076" s="106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ht="18" customHeight="1">
      <c r="A1077" s="124" t="s">
        <v>343</v>
      </c>
      <c r="B1077" s="78">
        <v>841</v>
      </c>
      <c r="C1077" s="67" t="s">
        <v>108</v>
      </c>
      <c r="D1077" s="67" t="s">
        <v>25</v>
      </c>
      <c r="E1077" s="67" t="s">
        <v>36</v>
      </c>
      <c r="F1077" s="67"/>
      <c r="G1077" s="96">
        <f>SUM(G1078)</f>
        <v>10000</v>
      </c>
      <c r="H1077" s="99">
        <f>SUM(H1078)</f>
        <v>-1500</v>
      </c>
      <c r="I1077" s="99">
        <f t="shared" si="114"/>
        <v>8500</v>
      </c>
      <c r="J1077" s="99">
        <f>SUM(J1078)</f>
        <v>1000</v>
      </c>
      <c r="K1077" s="96">
        <f t="shared" si="108"/>
        <v>9500</v>
      </c>
      <c r="L1077" s="106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ht="16.5">
      <c r="A1078" s="135" t="s">
        <v>271</v>
      </c>
      <c r="B1078" s="78">
        <v>841</v>
      </c>
      <c r="C1078" s="67" t="s">
        <v>108</v>
      </c>
      <c r="D1078" s="67" t="s">
        <v>25</v>
      </c>
      <c r="E1078" s="67" t="s">
        <v>36</v>
      </c>
      <c r="F1078" s="67" t="s">
        <v>49</v>
      </c>
      <c r="G1078" s="96">
        <f>4500+5000+500</f>
        <v>10000</v>
      </c>
      <c r="H1078" s="104">
        <f>3000-4500</f>
        <v>-1500</v>
      </c>
      <c r="I1078" s="99">
        <f t="shared" si="114"/>
        <v>8500</v>
      </c>
      <c r="J1078" s="104">
        <v>1000</v>
      </c>
      <c r="K1078" s="96">
        <f t="shared" si="108"/>
        <v>9500</v>
      </c>
      <c r="L1078" s="106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ht="18" customHeight="1" hidden="1">
      <c r="A1079" s="135" t="s">
        <v>846</v>
      </c>
      <c r="B1079" s="78">
        <v>841</v>
      </c>
      <c r="C1079" s="67" t="s">
        <v>108</v>
      </c>
      <c r="D1079" s="67" t="s">
        <v>295</v>
      </c>
      <c r="E1079" s="67" t="s">
        <v>37</v>
      </c>
      <c r="F1079" s="67"/>
      <c r="G1079" s="96">
        <f>SUM(G1080)</f>
        <v>0</v>
      </c>
      <c r="H1079" s="104"/>
      <c r="I1079" s="99">
        <f t="shared" si="114"/>
        <v>0</v>
      </c>
      <c r="J1079" s="104"/>
      <c r="K1079" s="96">
        <f t="shared" si="108"/>
        <v>0</v>
      </c>
      <c r="L1079" s="106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ht="18.75" customHeight="1" hidden="1">
      <c r="A1080" s="135" t="s">
        <v>271</v>
      </c>
      <c r="B1080" s="78">
        <v>841</v>
      </c>
      <c r="C1080" s="67" t="s">
        <v>108</v>
      </c>
      <c r="D1080" s="67" t="s">
        <v>25</v>
      </c>
      <c r="E1080" s="67" t="s">
        <v>37</v>
      </c>
      <c r="F1080" s="67" t="s">
        <v>49</v>
      </c>
      <c r="G1080" s="96"/>
      <c r="H1080" s="104"/>
      <c r="I1080" s="99">
        <f t="shared" si="114"/>
        <v>0</v>
      </c>
      <c r="J1080" s="104"/>
      <c r="K1080" s="96">
        <f t="shared" si="108"/>
        <v>0</v>
      </c>
      <c r="L1080" s="106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ht="18.75" customHeight="1" hidden="1">
      <c r="A1081" s="135" t="s">
        <v>846</v>
      </c>
      <c r="B1081" s="78">
        <v>841</v>
      </c>
      <c r="C1081" s="67" t="s">
        <v>108</v>
      </c>
      <c r="D1081" s="67" t="s">
        <v>25</v>
      </c>
      <c r="E1081" s="67" t="s">
        <v>37</v>
      </c>
      <c r="F1081" s="67"/>
      <c r="G1081" s="96">
        <f>G1082</f>
        <v>0</v>
      </c>
      <c r="H1081" s="104"/>
      <c r="I1081" s="99">
        <f t="shared" si="114"/>
        <v>0</v>
      </c>
      <c r="J1081" s="104"/>
      <c r="K1081" s="96">
        <f t="shared" si="108"/>
        <v>0</v>
      </c>
      <c r="L1081" s="106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ht="18.75" customHeight="1" hidden="1">
      <c r="A1082" s="135" t="s">
        <v>271</v>
      </c>
      <c r="B1082" s="78">
        <v>841</v>
      </c>
      <c r="C1082" s="67" t="s">
        <v>108</v>
      </c>
      <c r="D1082" s="67" t="s">
        <v>25</v>
      </c>
      <c r="E1082" s="67" t="s">
        <v>37</v>
      </c>
      <c r="F1082" s="67" t="s">
        <v>49</v>
      </c>
      <c r="G1082" s="96"/>
      <c r="H1082" s="104"/>
      <c r="I1082" s="99">
        <f t="shared" si="114"/>
        <v>0</v>
      </c>
      <c r="J1082" s="104"/>
      <c r="K1082" s="96">
        <f t="shared" si="108"/>
        <v>0</v>
      </c>
      <c r="L1082" s="106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ht="17.25" customHeight="1" hidden="1">
      <c r="A1083" s="135" t="s">
        <v>381</v>
      </c>
      <c r="B1083" s="78">
        <v>841</v>
      </c>
      <c r="C1083" s="67" t="s">
        <v>108</v>
      </c>
      <c r="D1083" s="67" t="s">
        <v>25</v>
      </c>
      <c r="E1083" s="67" t="s">
        <v>324</v>
      </c>
      <c r="F1083" s="67"/>
      <c r="G1083" s="96">
        <f>SUM(G1084)</f>
        <v>0</v>
      </c>
      <c r="H1083" s="104"/>
      <c r="I1083" s="99">
        <f t="shared" si="114"/>
        <v>0</v>
      </c>
      <c r="J1083" s="104"/>
      <c r="K1083" s="96">
        <f t="shared" si="108"/>
        <v>0</v>
      </c>
      <c r="L1083" s="106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ht="16.5" customHeight="1" hidden="1">
      <c r="A1084" s="135" t="s">
        <v>271</v>
      </c>
      <c r="B1084" s="78">
        <v>841</v>
      </c>
      <c r="C1084" s="67" t="s">
        <v>108</v>
      </c>
      <c r="D1084" s="67" t="s">
        <v>25</v>
      </c>
      <c r="E1084" s="67" t="s">
        <v>324</v>
      </c>
      <c r="F1084" s="67" t="s">
        <v>49</v>
      </c>
      <c r="G1084" s="96"/>
      <c r="H1084" s="104"/>
      <c r="I1084" s="99">
        <f t="shared" si="114"/>
        <v>0</v>
      </c>
      <c r="J1084" s="104"/>
      <c r="K1084" s="96">
        <f t="shared" si="108"/>
        <v>0</v>
      </c>
      <c r="L1084" s="106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ht="19.5" customHeight="1">
      <c r="A1085" s="127" t="s">
        <v>349</v>
      </c>
      <c r="B1085" s="78">
        <v>841</v>
      </c>
      <c r="C1085" s="67" t="s">
        <v>108</v>
      </c>
      <c r="D1085" s="67" t="s">
        <v>25</v>
      </c>
      <c r="E1085" s="67" t="s">
        <v>328</v>
      </c>
      <c r="F1085" s="67"/>
      <c r="G1085" s="96">
        <f>SUM(G1086)</f>
        <v>20000</v>
      </c>
      <c r="H1085" s="99">
        <f>SUM(H1086)</f>
        <v>-5000</v>
      </c>
      <c r="I1085" s="99">
        <f t="shared" si="114"/>
        <v>15000</v>
      </c>
      <c r="J1085" s="99">
        <f>SUM(J1086)</f>
        <v>0</v>
      </c>
      <c r="K1085" s="96">
        <f t="shared" si="108"/>
        <v>15000</v>
      </c>
      <c r="L1085" s="106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ht="16.5" customHeight="1">
      <c r="A1086" s="135" t="s">
        <v>271</v>
      </c>
      <c r="B1086" s="78">
        <v>841</v>
      </c>
      <c r="C1086" s="67" t="s">
        <v>108</v>
      </c>
      <c r="D1086" s="67" t="s">
        <v>25</v>
      </c>
      <c r="E1086" s="67" t="s">
        <v>328</v>
      </c>
      <c r="F1086" s="67" t="s">
        <v>49</v>
      </c>
      <c r="G1086" s="96">
        <v>20000</v>
      </c>
      <c r="H1086" s="104">
        <v>-5000</v>
      </c>
      <c r="I1086" s="99">
        <f t="shared" si="114"/>
        <v>15000</v>
      </c>
      <c r="J1086" s="104"/>
      <c r="K1086" s="96">
        <f t="shared" si="108"/>
        <v>15000</v>
      </c>
      <c r="L1086" s="106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ht="16.5" customHeight="1">
      <c r="A1087" s="135" t="s">
        <v>384</v>
      </c>
      <c r="B1087" s="78">
        <v>841</v>
      </c>
      <c r="C1087" s="67" t="s">
        <v>108</v>
      </c>
      <c r="D1087" s="67" t="s">
        <v>25</v>
      </c>
      <c r="E1087" s="67" t="s">
        <v>385</v>
      </c>
      <c r="F1087" s="67"/>
      <c r="G1087" s="96"/>
      <c r="H1087" s="104">
        <f>H1088</f>
        <v>10900</v>
      </c>
      <c r="I1087" s="99">
        <f t="shared" si="114"/>
        <v>10900</v>
      </c>
      <c r="J1087" s="104">
        <f>J1088</f>
        <v>0</v>
      </c>
      <c r="K1087" s="96">
        <f t="shared" si="108"/>
        <v>10900</v>
      </c>
      <c r="L1087" s="106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ht="16.5" customHeight="1">
      <c r="A1088" s="135" t="s">
        <v>271</v>
      </c>
      <c r="B1088" s="78">
        <v>841</v>
      </c>
      <c r="C1088" s="67" t="s">
        <v>108</v>
      </c>
      <c r="D1088" s="67" t="s">
        <v>25</v>
      </c>
      <c r="E1088" s="67" t="s">
        <v>385</v>
      </c>
      <c r="F1088" s="67" t="s">
        <v>49</v>
      </c>
      <c r="G1088" s="96"/>
      <c r="H1088" s="104">
        <v>10900</v>
      </c>
      <c r="I1088" s="99">
        <f t="shared" si="114"/>
        <v>10900</v>
      </c>
      <c r="J1088" s="104"/>
      <c r="K1088" s="96">
        <f t="shared" si="108"/>
        <v>10900</v>
      </c>
      <c r="L1088" s="106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ht="18" customHeight="1">
      <c r="A1089" s="135" t="s">
        <v>741</v>
      </c>
      <c r="B1089" s="78">
        <v>841</v>
      </c>
      <c r="C1089" s="67" t="s">
        <v>108</v>
      </c>
      <c r="D1089" s="67" t="s">
        <v>26</v>
      </c>
      <c r="E1089" s="67"/>
      <c r="F1089" s="67"/>
      <c r="G1089" s="96">
        <f>SUM(G1090,G1110)</f>
        <v>565362.3</v>
      </c>
      <c r="H1089" s="99">
        <f>SUM(H1090,H1110)</f>
        <v>-27002.800000000003</v>
      </c>
      <c r="I1089" s="99">
        <f t="shared" si="114"/>
        <v>538359.5</v>
      </c>
      <c r="J1089" s="99">
        <f>SUM(J1090,J1110)</f>
        <v>66225</v>
      </c>
      <c r="K1089" s="96">
        <f t="shared" si="108"/>
        <v>604584.5</v>
      </c>
      <c r="L1089" s="106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ht="33" customHeight="1">
      <c r="A1090" s="124" t="s">
        <v>38</v>
      </c>
      <c r="B1090" s="78">
        <v>841</v>
      </c>
      <c r="C1090" s="67" t="s">
        <v>108</v>
      </c>
      <c r="D1090" s="67" t="s">
        <v>26</v>
      </c>
      <c r="E1090" s="67" t="s">
        <v>483</v>
      </c>
      <c r="F1090" s="67"/>
      <c r="G1090" s="96">
        <f>G1091+G1097</f>
        <v>410638</v>
      </c>
      <c r="H1090" s="99">
        <f>H1091+H1097</f>
        <v>-27002.800000000003</v>
      </c>
      <c r="I1090" s="99">
        <f t="shared" si="114"/>
        <v>383635.2</v>
      </c>
      <c r="J1090" s="99">
        <f>J1091+J1097</f>
        <v>-33775</v>
      </c>
      <c r="K1090" s="96">
        <f t="shared" si="108"/>
        <v>349860.2</v>
      </c>
      <c r="L1090" s="106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ht="51.75" customHeight="1" hidden="1">
      <c r="A1091" s="124" t="s">
        <v>123</v>
      </c>
      <c r="B1091" s="78">
        <v>841</v>
      </c>
      <c r="C1091" s="67" t="s">
        <v>108</v>
      </c>
      <c r="D1091" s="67" t="s">
        <v>26</v>
      </c>
      <c r="E1091" s="67" t="s">
        <v>120</v>
      </c>
      <c r="F1091" s="67"/>
      <c r="G1091" s="96">
        <f>SUM(G1092)</f>
        <v>0</v>
      </c>
      <c r="H1091" s="99">
        <f>SUM(H1092)</f>
        <v>0</v>
      </c>
      <c r="I1091" s="99">
        <f t="shared" si="114"/>
        <v>0</v>
      </c>
      <c r="J1091" s="99">
        <f>SUM(J1092)</f>
        <v>0</v>
      </c>
      <c r="K1091" s="96">
        <f t="shared" si="108"/>
        <v>0</v>
      </c>
      <c r="L1091" s="106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ht="35.25" customHeight="1" hidden="1">
      <c r="A1092" s="124" t="s">
        <v>484</v>
      </c>
      <c r="B1092" s="78">
        <v>841</v>
      </c>
      <c r="C1092" s="67" t="s">
        <v>108</v>
      </c>
      <c r="D1092" s="67" t="s">
        <v>26</v>
      </c>
      <c r="E1092" s="67" t="s">
        <v>485</v>
      </c>
      <c r="F1092" s="67"/>
      <c r="G1092" s="96">
        <f>SUM(G1093:G1096)</f>
        <v>0</v>
      </c>
      <c r="H1092" s="99">
        <f>SUM(H1093:H1096)</f>
        <v>0</v>
      </c>
      <c r="I1092" s="99">
        <f t="shared" si="114"/>
        <v>0</v>
      </c>
      <c r="J1092" s="99">
        <f>SUM(J1093:J1096)</f>
        <v>0</v>
      </c>
      <c r="K1092" s="96">
        <f t="shared" si="108"/>
        <v>0</v>
      </c>
      <c r="L1092" s="106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ht="33" hidden="1">
      <c r="A1093" s="124" t="s">
        <v>860</v>
      </c>
      <c r="B1093" s="78">
        <v>841</v>
      </c>
      <c r="C1093" s="67" t="s">
        <v>108</v>
      </c>
      <c r="D1093" s="67" t="s">
        <v>26</v>
      </c>
      <c r="E1093" s="67" t="s">
        <v>485</v>
      </c>
      <c r="F1093" s="67" t="s">
        <v>131</v>
      </c>
      <c r="G1093" s="96"/>
      <c r="H1093" s="99"/>
      <c r="I1093" s="99">
        <f t="shared" si="114"/>
        <v>0</v>
      </c>
      <c r="J1093" s="99"/>
      <c r="K1093" s="96">
        <f t="shared" si="108"/>
        <v>0</v>
      </c>
      <c r="L1093" s="106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ht="36.75" customHeight="1" hidden="1">
      <c r="A1094" s="124" t="s">
        <v>299</v>
      </c>
      <c r="B1094" s="78">
        <v>841</v>
      </c>
      <c r="C1094" s="67" t="s">
        <v>108</v>
      </c>
      <c r="D1094" s="67" t="s">
        <v>26</v>
      </c>
      <c r="E1094" s="67" t="s">
        <v>485</v>
      </c>
      <c r="F1094" s="67" t="s">
        <v>132</v>
      </c>
      <c r="G1094" s="96"/>
      <c r="H1094" s="99"/>
      <c r="I1094" s="99">
        <f t="shared" si="114"/>
        <v>0</v>
      </c>
      <c r="J1094" s="99"/>
      <c r="K1094" s="96">
        <f t="shared" si="108"/>
        <v>0</v>
      </c>
      <c r="L1094" s="106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ht="21.75" customHeight="1" hidden="1">
      <c r="A1095" s="124" t="s">
        <v>861</v>
      </c>
      <c r="B1095" s="78">
        <v>841</v>
      </c>
      <c r="C1095" s="67" t="s">
        <v>108</v>
      </c>
      <c r="D1095" s="67" t="s">
        <v>26</v>
      </c>
      <c r="E1095" s="67" t="s">
        <v>485</v>
      </c>
      <c r="F1095" s="67" t="s">
        <v>133</v>
      </c>
      <c r="G1095" s="96"/>
      <c r="H1095" s="99"/>
      <c r="I1095" s="99">
        <f t="shared" si="114"/>
        <v>0</v>
      </c>
      <c r="J1095" s="99"/>
      <c r="K1095" s="96">
        <f t="shared" si="108"/>
        <v>0</v>
      </c>
      <c r="L1095" s="106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ht="36.75" customHeight="1" hidden="1">
      <c r="A1096" s="124" t="s">
        <v>380</v>
      </c>
      <c r="B1096" s="78">
        <v>841</v>
      </c>
      <c r="C1096" s="67" t="s">
        <v>108</v>
      </c>
      <c r="D1096" s="67" t="s">
        <v>26</v>
      </c>
      <c r="E1096" s="67" t="s">
        <v>485</v>
      </c>
      <c r="F1096" s="67" t="s">
        <v>134</v>
      </c>
      <c r="G1096" s="96"/>
      <c r="H1096" s="99"/>
      <c r="I1096" s="99">
        <f t="shared" si="114"/>
        <v>0</v>
      </c>
      <c r="J1096" s="99"/>
      <c r="K1096" s="96">
        <f t="shared" si="108"/>
        <v>0</v>
      </c>
      <c r="L1096" s="106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ht="18" customHeight="1">
      <c r="A1097" s="124" t="s">
        <v>7</v>
      </c>
      <c r="B1097" s="78">
        <v>841</v>
      </c>
      <c r="C1097" s="67" t="s">
        <v>108</v>
      </c>
      <c r="D1097" s="67" t="s">
        <v>26</v>
      </c>
      <c r="E1097" s="67" t="s">
        <v>33</v>
      </c>
      <c r="F1097" s="67"/>
      <c r="G1097" s="96">
        <f>G1098+G1100+G1102+G1104+G1106+G1108</f>
        <v>410638</v>
      </c>
      <c r="H1097" s="99">
        <f>H1098+H1100+H1102+H1104+H1106+H1108</f>
        <v>-27002.800000000003</v>
      </c>
      <c r="I1097" s="99">
        <f t="shared" si="114"/>
        <v>383635.2</v>
      </c>
      <c r="J1097" s="99">
        <f>J1098+J1100+J1102+J1104+J1106+J1108</f>
        <v>-33775</v>
      </c>
      <c r="K1097" s="96">
        <f t="shared" si="108"/>
        <v>349860.2</v>
      </c>
      <c r="L1097" s="106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ht="18" customHeight="1">
      <c r="A1098" s="124" t="s">
        <v>343</v>
      </c>
      <c r="B1098" s="78">
        <v>841</v>
      </c>
      <c r="C1098" s="67" t="s">
        <v>108</v>
      </c>
      <c r="D1098" s="67" t="s">
        <v>26</v>
      </c>
      <c r="E1098" s="67" t="s">
        <v>36</v>
      </c>
      <c r="F1098" s="67"/>
      <c r="G1098" s="96">
        <f>SUM(G1099)</f>
        <v>266651.3</v>
      </c>
      <c r="H1098" s="99">
        <f>SUM(H1099)</f>
        <v>24897.2</v>
      </c>
      <c r="I1098" s="99">
        <f t="shared" si="114"/>
        <v>291548.5</v>
      </c>
      <c r="J1098" s="99">
        <f>SUM(J1099)</f>
        <v>-675</v>
      </c>
      <c r="K1098" s="96">
        <f t="shared" si="108"/>
        <v>290873.5</v>
      </c>
      <c r="L1098" s="106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ht="16.5">
      <c r="A1099" s="135" t="s">
        <v>271</v>
      </c>
      <c r="B1099" s="78">
        <v>841</v>
      </c>
      <c r="C1099" s="67" t="s">
        <v>108</v>
      </c>
      <c r="D1099" s="67" t="s">
        <v>26</v>
      </c>
      <c r="E1099" s="67" t="s">
        <v>36</v>
      </c>
      <c r="F1099" s="67" t="s">
        <v>49</v>
      </c>
      <c r="G1099" s="96">
        <f>39703.3+99925+22000+50000+8000+10000+6200+11723+10000+1000+600+1200+220+446+800+2334+2500</f>
        <v>266651.3</v>
      </c>
      <c r="H1099" s="104">
        <f>5800-7191.8-4211-10000-6000-2500+6000+3000+40000</f>
        <v>24897.2</v>
      </c>
      <c r="I1099" s="99">
        <f t="shared" si="114"/>
        <v>291548.5</v>
      </c>
      <c r="J1099" s="104">
        <f>23000-500-45788.4-14000+1054+2000-220-800+1200+1700+1500+10000+140+3569.4+500+14470+1500</f>
        <v>-675</v>
      </c>
      <c r="K1099" s="96">
        <f t="shared" si="108"/>
        <v>290873.5</v>
      </c>
      <c r="L1099" s="106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ht="34.5" customHeight="1" hidden="1">
      <c r="A1100" s="124" t="s">
        <v>742</v>
      </c>
      <c r="B1100" s="78">
        <v>841</v>
      </c>
      <c r="C1100" s="67" t="s">
        <v>108</v>
      </c>
      <c r="D1100" s="67" t="s">
        <v>26</v>
      </c>
      <c r="E1100" s="67" t="s">
        <v>39</v>
      </c>
      <c r="F1100" s="67"/>
      <c r="G1100" s="96">
        <f>SUM(G1101)</f>
        <v>100000</v>
      </c>
      <c r="H1100" s="99">
        <f>SUM(H1101)</f>
        <v>-66900</v>
      </c>
      <c r="I1100" s="99">
        <f t="shared" si="114"/>
        <v>33100</v>
      </c>
      <c r="J1100" s="99">
        <f>SUM(J1101)</f>
        <v>-33100</v>
      </c>
      <c r="K1100" s="96">
        <f t="shared" si="108"/>
        <v>0</v>
      </c>
      <c r="L1100" s="106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ht="16.5" hidden="1">
      <c r="A1101" s="135" t="s">
        <v>271</v>
      </c>
      <c r="B1101" s="78">
        <v>841</v>
      </c>
      <c r="C1101" s="67" t="s">
        <v>108</v>
      </c>
      <c r="D1101" s="67" t="s">
        <v>26</v>
      </c>
      <c r="E1101" s="67" t="s">
        <v>39</v>
      </c>
      <c r="F1101" s="67" t="s">
        <v>49</v>
      </c>
      <c r="G1101" s="96">
        <v>100000</v>
      </c>
      <c r="H1101" s="104">
        <v>-66900</v>
      </c>
      <c r="I1101" s="99">
        <f t="shared" si="114"/>
        <v>33100</v>
      </c>
      <c r="J1101" s="104">
        <v>-33100</v>
      </c>
      <c r="K1101" s="96">
        <f t="shared" si="108"/>
        <v>0</v>
      </c>
      <c r="L1101" s="106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ht="16.5" hidden="1">
      <c r="A1102" s="135" t="s">
        <v>376</v>
      </c>
      <c r="B1102" s="78">
        <v>841</v>
      </c>
      <c r="C1102" s="67" t="s">
        <v>108</v>
      </c>
      <c r="D1102" s="67" t="s">
        <v>26</v>
      </c>
      <c r="E1102" s="67" t="s">
        <v>40</v>
      </c>
      <c r="F1102" s="67"/>
      <c r="G1102" s="96">
        <f>G1103</f>
        <v>0</v>
      </c>
      <c r="H1102" s="104"/>
      <c r="I1102" s="99">
        <f t="shared" si="114"/>
        <v>0</v>
      </c>
      <c r="J1102" s="104"/>
      <c r="K1102" s="96">
        <f t="shared" si="108"/>
        <v>0</v>
      </c>
      <c r="L1102" s="106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ht="18" customHeight="1" hidden="1">
      <c r="A1103" s="135" t="s">
        <v>271</v>
      </c>
      <c r="B1103" s="78">
        <v>841</v>
      </c>
      <c r="C1103" s="67" t="s">
        <v>108</v>
      </c>
      <c r="D1103" s="67" t="s">
        <v>26</v>
      </c>
      <c r="E1103" s="67" t="s">
        <v>40</v>
      </c>
      <c r="F1103" s="67" t="s">
        <v>49</v>
      </c>
      <c r="G1103" s="96"/>
      <c r="H1103" s="104"/>
      <c r="I1103" s="99">
        <f t="shared" si="114"/>
        <v>0</v>
      </c>
      <c r="J1103" s="104"/>
      <c r="K1103" s="96">
        <f t="shared" si="108"/>
        <v>0</v>
      </c>
      <c r="L1103" s="106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ht="20.25" customHeight="1" hidden="1">
      <c r="A1104" s="135" t="s">
        <v>403</v>
      </c>
      <c r="B1104" s="78">
        <v>841</v>
      </c>
      <c r="C1104" s="67" t="s">
        <v>108</v>
      </c>
      <c r="D1104" s="67" t="s">
        <v>26</v>
      </c>
      <c r="E1104" s="67" t="s">
        <v>386</v>
      </c>
      <c r="F1104" s="67"/>
      <c r="G1104" s="96">
        <f>G1105</f>
        <v>0</v>
      </c>
      <c r="H1104" s="104"/>
      <c r="I1104" s="99">
        <f t="shared" si="114"/>
        <v>0</v>
      </c>
      <c r="J1104" s="104"/>
      <c r="K1104" s="96">
        <f t="shared" si="108"/>
        <v>0</v>
      </c>
      <c r="L1104" s="106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ht="18.75" customHeight="1" hidden="1">
      <c r="A1105" s="135" t="s">
        <v>492</v>
      </c>
      <c r="B1105" s="78">
        <v>841</v>
      </c>
      <c r="C1105" s="67" t="s">
        <v>108</v>
      </c>
      <c r="D1105" s="67" t="s">
        <v>26</v>
      </c>
      <c r="E1105" s="67" t="s">
        <v>386</v>
      </c>
      <c r="F1105" s="67" t="s">
        <v>49</v>
      </c>
      <c r="G1105" s="96"/>
      <c r="H1105" s="104"/>
      <c r="I1105" s="99">
        <f t="shared" si="114"/>
        <v>0</v>
      </c>
      <c r="J1105" s="104"/>
      <c r="K1105" s="96">
        <f t="shared" si="108"/>
        <v>0</v>
      </c>
      <c r="L1105" s="106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ht="18.75" customHeight="1">
      <c r="A1106" s="135" t="s">
        <v>762</v>
      </c>
      <c r="B1106" s="78">
        <v>841</v>
      </c>
      <c r="C1106" s="67" t="s">
        <v>108</v>
      </c>
      <c r="D1106" s="67" t="s">
        <v>26</v>
      </c>
      <c r="E1106" s="67" t="s">
        <v>204</v>
      </c>
      <c r="F1106" s="67"/>
      <c r="G1106" s="96">
        <f>G1107</f>
        <v>12986.7</v>
      </c>
      <c r="H1106" s="99">
        <f>H1107</f>
        <v>15000</v>
      </c>
      <c r="I1106" s="99">
        <f t="shared" si="114"/>
        <v>27986.7</v>
      </c>
      <c r="J1106" s="99">
        <f>J1107</f>
        <v>0</v>
      </c>
      <c r="K1106" s="96">
        <f aca="true" t="shared" si="115" ref="K1106:K1169">I1106+J1106</f>
        <v>27986.7</v>
      </c>
      <c r="L1106" s="106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ht="18.75" customHeight="1">
      <c r="A1107" s="135" t="s">
        <v>492</v>
      </c>
      <c r="B1107" s="78">
        <v>841</v>
      </c>
      <c r="C1107" s="67" t="s">
        <v>108</v>
      </c>
      <c r="D1107" s="67" t="s">
        <v>26</v>
      </c>
      <c r="E1107" s="67" t="s">
        <v>204</v>
      </c>
      <c r="F1107" s="67" t="s">
        <v>49</v>
      </c>
      <c r="G1107" s="96">
        <v>12986.7</v>
      </c>
      <c r="H1107" s="104">
        <v>15000</v>
      </c>
      <c r="I1107" s="99">
        <f t="shared" si="114"/>
        <v>27986.7</v>
      </c>
      <c r="J1107" s="104"/>
      <c r="K1107" s="96">
        <f t="shared" si="115"/>
        <v>27986.7</v>
      </c>
      <c r="L1107" s="106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ht="35.25" customHeight="1">
      <c r="A1108" s="124" t="s">
        <v>255</v>
      </c>
      <c r="B1108" s="78">
        <v>841</v>
      </c>
      <c r="C1108" s="67" t="s">
        <v>108</v>
      </c>
      <c r="D1108" s="67" t="s">
        <v>26</v>
      </c>
      <c r="E1108" s="67" t="s">
        <v>639</v>
      </c>
      <c r="F1108" s="67"/>
      <c r="G1108" s="96">
        <f>G1109</f>
        <v>31000</v>
      </c>
      <c r="H1108" s="99">
        <f>H1109</f>
        <v>0</v>
      </c>
      <c r="I1108" s="99">
        <f t="shared" si="114"/>
        <v>31000</v>
      </c>
      <c r="J1108" s="99">
        <f>J1109</f>
        <v>0</v>
      </c>
      <c r="K1108" s="96">
        <f t="shared" si="115"/>
        <v>31000</v>
      </c>
      <c r="L1108" s="106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ht="18.75" customHeight="1">
      <c r="A1109" s="135" t="s">
        <v>492</v>
      </c>
      <c r="B1109" s="78">
        <v>841</v>
      </c>
      <c r="C1109" s="67" t="s">
        <v>108</v>
      </c>
      <c r="D1109" s="67" t="s">
        <v>26</v>
      </c>
      <c r="E1109" s="67" t="s">
        <v>639</v>
      </c>
      <c r="F1109" s="67" t="s">
        <v>49</v>
      </c>
      <c r="G1109" s="96">
        <v>31000</v>
      </c>
      <c r="H1109" s="104"/>
      <c r="I1109" s="99">
        <f t="shared" si="114"/>
        <v>31000</v>
      </c>
      <c r="J1109" s="104"/>
      <c r="K1109" s="96">
        <f t="shared" si="115"/>
        <v>31000</v>
      </c>
      <c r="L1109" s="106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ht="17.25" customHeight="1">
      <c r="A1110" s="136" t="s">
        <v>470</v>
      </c>
      <c r="B1110" s="78">
        <v>841</v>
      </c>
      <c r="C1110" s="67" t="s">
        <v>108</v>
      </c>
      <c r="D1110" s="67" t="s">
        <v>26</v>
      </c>
      <c r="E1110" s="67" t="s">
        <v>471</v>
      </c>
      <c r="F1110" s="67"/>
      <c r="G1110" s="96">
        <f aca="true" t="shared" si="116" ref="G1110:J1111">SUM(G1111)</f>
        <v>154724.3</v>
      </c>
      <c r="H1110" s="99">
        <f t="shared" si="116"/>
        <v>0</v>
      </c>
      <c r="I1110" s="99">
        <f t="shared" si="114"/>
        <v>154724.3</v>
      </c>
      <c r="J1110" s="99">
        <f t="shared" si="116"/>
        <v>100000</v>
      </c>
      <c r="K1110" s="96">
        <f t="shared" si="115"/>
        <v>254724.3</v>
      </c>
      <c r="L1110" s="106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ht="51" customHeight="1">
      <c r="A1111" s="136" t="s">
        <v>506</v>
      </c>
      <c r="B1111" s="78">
        <v>841</v>
      </c>
      <c r="C1111" s="79" t="s">
        <v>108</v>
      </c>
      <c r="D1111" s="67" t="s">
        <v>26</v>
      </c>
      <c r="E1111" s="67" t="s">
        <v>288</v>
      </c>
      <c r="F1111" s="67"/>
      <c r="G1111" s="96">
        <f t="shared" si="116"/>
        <v>154724.3</v>
      </c>
      <c r="H1111" s="99">
        <f t="shared" si="116"/>
        <v>0</v>
      </c>
      <c r="I1111" s="99">
        <f t="shared" si="114"/>
        <v>154724.3</v>
      </c>
      <c r="J1111" s="99">
        <f t="shared" si="116"/>
        <v>100000</v>
      </c>
      <c r="K1111" s="96">
        <f t="shared" si="115"/>
        <v>254724.3</v>
      </c>
      <c r="L1111" s="106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ht="33.75" customHeight="1">
      <c r="A1112" s="136" t="s">
        <v>269</v>
      </c>
      <c r="B1112" s="78">
        <v>841</v>
      </c>
      <c r="C1112" s="79" t="s">
        <v>108</v>
      </c>
      <c r="D1112" s="67" t="s">
        <v>26</v>
      </c>
      <c r="E1112" s="67" t="s">
        <v>288</v>
      </c>
      <c r="F1112" s="67" t="s">
        <v>131</v>
      </c>
      <c r="G1112" s="96">
        <v>154724.3</v>
      </c>
      <c r="H1112" s="104"/>
      <c r="I1112" s="99">
        <f t="shared" si="114"/>
        <v>154724.3</v>
      </c>
      <c r="J1112" s="104">
        <v>100000</v>
      </c>
      <c r="K1112" s="96">
        <f t="shared" si="115"/>
        <v>254724.3</v>
      </c>
      <c r="L1112" s="106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ht="16.5" hidden="1">
      <c r="A1113" s="136" t="s">
        <v>267</v>
      </c>
      <c r="B1113" s="78">
        <v>841</v>
      </c>
      <c r="C1113" s="79" t="s">
        <v>28</v>
      </c>
      <c r="D1113" s="67"/>
      <c r="E1113" s="67"/>
      <c r="F1113" s="67"/>
      <c r="G1113" s="96">
        <f>SUM(G1114)</f>
        <v>3000</v>
      </c>
      <c r="H1113" s="99">
        <f>SUM(H1114)</f>
        <v>-3000</v>
      </c>
      <c r="I1113" s="99">
        <f t="shared" si="114"/>
        <v>0</v>
      </c>
      <c r="J1113" s="99"/>
      <c r="K1113" s="96">
        <f t="shared" si="115"/>
        <v>0</v>
      </c>
      <c r="L1113" s="106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ht="16.5" hidden="1">
      <c r="A1114" s="136" t="s">
        <v>348</v>
      </c>
      <c r="B1114" s="78">
        <v>841</v>
      </c>
      <c r="C1114" s="79" t="s">
        <v>28</v>
      </c>
      <c r="D1114" s="67" t="s">
        <v>108</v>
      </c>
      <c r="E1114" s="67"/>
      <c r="F1114" s="67"/>
      <c r="G1114" s="96">
        <f>SUM(G1117)</f>
        <v>3000</v>
      </c>
      <c r="H1114" s="99">
        <f>SUM(H1117)</f>
        <v>-3000</v>
      </c>
      <c r="I1114" s="99">
        <f t="shared" si="114"/>
        <v>0</v>
      </c>
      <c r="J1114" s="99"/>
      <c r="K1114" s="96">
        <f t="shared" si="115"/>
        <v>0</v>
      </c>
      <c r="L1114" s="106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ht="33" hidden="1">
      <c r="A1115" s="124" t="s">
        <v>268</v>
      </c>
      <c r="B1115" s="78">
        <v>841</v>
      </c>
      <c r="C1115" s="79" t="s">
        <v>28</v>
      </c>
      <c r="D1115" s="67" t="s">
        <v>108</v>
      </c>
      <c r="E1115" s="67" t="s">
        <v>483</v>
      </c>
      <c r="F1115" s="67"/>
      <c r="G1115" s="96">
        <f aca="true" t="shared" si="117" ref="G1115:H1117">SUM(G1116)</f>
        <v>3000</v>
      </c>
      <c r="H1115" s="99">
        <f t="shared" si="117"/>
        <v>-3000</v>
      </c>
      <c r="I1115" s="99">
        <f t="shared" si="114"/>
        <v>0</v>
      </c>
      <c r="J1115" s="99"/>
      <c r="K1115" s="96">
        <f t="shared" si="115"/>
        <v>0</v>
      </c>
      <c r="L1115" s="106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ht="16.5" hidden="1">
      <c r="A1116" s="124" t="s">
        <v>7</v>
      </c>
      <c r="B1116" s="78">
        <v>841</v>
      </c>
      <c r="C1116" s="79" t="s">
        <v>28</v>
      </c>
      <c r="D1116" s="67" t="s">
        <v>108</v>
      </c>
      <c r="E1116" s="67" t="s">
        <v>33</v>
      </c>
      <c r="F1116" s="67"/>
      <c r="G1116" s="96">
        <f t="shared" si="117"/>
        <v>3000</v>
      </c>
      <c r="H1116" s="99">
        <f t="shared" si="117"/>
        <v>-3000</v>
      </c>
      <c r="I1116" s="99">
        <f t="shared" si="114"/>
        <v>0</v>
      </c>
      <c r="J1116" s="99"/>
      <c r="K1116" s="96">
        <f t="shared" si="115"/>
        <v>0</v>
      </c>
      <c r="L1116" s="106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ht="16.5" hidden="1">
      <c r="A1117" s="124" t="s">
        <v>343</v>
      </c>
      <c r="B1117" s="78">
        <v>841</v>
      </c>
      <c r="C1117" s="79" t="s">
        <v>28</v>
      </c>
      <c r="D1117" s="67" t="s">
        <v>108</v>
      </c>
      <c r="E1117" s="67" t="s">
        <v>36</v>
      </c>
      <c r="F1117" s="67"/>
      <c r="G1117" s="96">
        <f t="shared" si="117"/>
        <v>3000</v>
      </c>
      <c r="H1117" s="99">
        <f t="shared" si="117"/>
        <v>-3000</v>
      </c>
      <c r="I1117" s="99">
        <f t="shared" si="114"/>
        <v>0</v>
      </c>
      <c r="J1117" s="99"/>
      <c r="K1117" s="96">
        <f t="shared" si="115"/>
        <v>0</v>
      </c>
      <c r="L1117" s="106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ht="16.5" hidden="1">
      <c r="A1118" s="135" t="s">
        <v>271</v>
      </c>
      <c r="B1118" s="78">
        <v>841</v>
      </c>
      <c r="C1118" s="79" t="s">
        <v>28</v>
      </c>
      <c r="D1118" s="67" t="s">
        <v>108</v>
      </c>
      <c r="E1118" s="67" t="s">
        <v>36</v>
      </c>
      <c r="F1118" s="67" t="s">
        <v>49</v>
      </c>
      <c r="G1118" s="96">
        <v>3000</v>
      </c>
      <c r="H1118" s="104">
        <v>-3000</v>
      </c>
      <c r="I1118" s="99">
        <f t="shared" si="114"/>
        <v>0</v>
      </c>
      <c r="J1118" s="104"/>
      <c r="K1118" s="96">
        <f t="shared" si="115"/>
        <v>0</v>
      </c>
      <c r="L1118" s="106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ht="18.75" customHeight="1">
      <c r="A1119" s="136" t="s">
        <v>507</v>
      </c>
      <c r="B1119" s="78">
        <v>841</v>
      </c>
      <c r="C1119" s="67" t="s">
        <v>625</v>
      </c>
      <c r="D1119" s="67"/>
      <c r="E1119" s="67"/>
      <c r="F1119" s="67"/>
      <c r="G1119" s="96">
        <f>SUM(G1125)</f>
        <v>110470.8</v>
      </c>
      <c r="H1119" s="99">
        <f>SUM(H1125)</f>
        <v>-13200</v>
      </c>
      <c r="I1119" s="99">
        <f t="shared" si="114"/>
        <v>97270.8</v>
      </c>
      <c r="J1119" s="99">
        <f>SUM(J1125,J1120)</f>
        <v>11980</v>
      </c>
      <c r="K1119" s="96">
        <f t="shared" si="115"/>
        <v>109250.8</v>
      </c>
      <c r="L1119" s="106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ht="18.75" customHeight="1">
      <c r="A1120" s="136" t="s">
        <v>307</v>
      </c>
      <c r="B1120" s="78">
        <v>841</v>
      </c>
      <c r="C1120" s="67" t="s">
        <v>625</v>
      </c>
      <c r="D1120" s="67" t="s">
        <v>625</v>
      </c>
      <c r="E1120" s="67"/>
      <c r="F1120" s="67"/>
      <c r="G1120" s="96"/>
      <c r="H1120" s="99"/>
      <c r="I1120" s="99"/>
      <c r="J1120" s="99">
        <f>J1121</f>
        <v>980</v>
      </c>
      <c r="K1120" s="96">
        <f t="shared" si="115"/>
        <v>980</v>
      </c>
      <c r="L1120" s="106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ht="36" customHeight="1">
      <c r="A1121" s="124" t="s">
        <v>268</v>
      </c>
      <c r="B1121" s="78">
        <v>841</v>
      </c>
      <c r="C1121" s="67" t="s">
        <v>625</v>
      </c>
      <c r="D1121" s="67" t="s">
        <v>625</v>
      </c>
      <c r="E1121" s="67" t="s">
        <v>483</v>
      </c>
      <c r="F1121" s="67"/>
      <c r="G1121" s="96"/>
      <c r="H1121" s="99"/>
      <c r="I1121" s="99"/>
      <c r="J1121" s="99">
        <f>J1122</f>
        <v>980</v>
      </c>
      <c r="K1121" s="96">
        <f t="shared" si="115"/>
        <v>980</v>
      </c>
      <c r="L1121" s="106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ht="18.75" customHeight="1">
      <c r="A1122" s="124" t="s">
        <v>7</v>
      </c>
      <c r="B1122" s="78">
        <v>841</v>
      </c>
      <c r="C1122" s="67" t="s">
        <v>625</v>
      </c>
      <c r="D1122" s="67" t="s">
        <v>625</v>
      </c>
      <c r="E1122" s="67" t="s">
        <v>33</v>
      </c>
      <c r="F1122" s="67"/>
      <c r="G1122" s="96"/>
      <c r="H1122" s="99"/>
      <c r="I1122" s="99"/>
      <c r="J1122" s="99">
        <f>J1123</f>
        <v>980</v>
      </c>
      <c r="K1122" s="96">
        <f t="shared" si="115"/>
        <v>980</v>
      </c>
      <c r="L1122" s="106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ht="18.75" customHeight="1">
      <c r="A1123" s="124" t="s">
        <v>343</v>
      </c>
      <c r="B1123" s="78">
        <v>841</v>
      </c>
      <c r="C1123" s="67" t="s">
        <v>625</v>
      </c>
      <c r="D1123" s="67" t="s">
        <v>625</v>
      </c>
      <c r="E1123" s="67" t="s">
        <v>36</v>
      </c>
      <c r="F1123" s="67"/>
      <c r="G1123" s="96"/>
      <c r="H1123" s="99"/>
      <c r="I1123" s="99"/>
      <c r="J1123" s="99">
        <f>J1124</f>
        <v>980</v>
      </c>
      <c r="K1123" s="96">
        <f t="shared" si="115"/>
        <v>980</v>
      </c>
      <c r="L1123" s="106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ht="18.75" customHeight="1">
      <c r="A1124" s="135" t="s">
        <v>492</v>
      </c>
      <c r="B1124" s="78">
        <v>841</v>
      </c>
      <c r="C1124" s="67" t="s">
        <v>625</v>
      </c>
      <c r="D1124" s="67" t="s">
        <v>625</v>
      </c>
      <c r="E1124" s="67" t="s">
        <v>36</v>
      </c>
      <c r="F1124" s="67" t="s">
        <v>49</v>
      </c>
      <c r="G1124" s="96"/>
      <c r="H1124" s="99"/>
      <c r="I1124" s="99"/>
      <c r="J1124" s="99">
        <v>980</v>
      </c>
      <c r="K1124" s="96">
        <f t="shared" si="115"/>
        <v>980</v>
      </c>
      <c r="L1124" s="106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ht="20.25" customHeight="1">
      <c r="A1125" s="136" t="s">
        <v>195</v>
      </c>
      <c r="B1125" s="78">
        <v>841</v>
      </c>
      <c r="C1125" s="67" t="s">
        <v>625</v>
      </c>
      <c r="D1125" s="67" t="s">
        <v>106</v>
      </c>
      <c r="E1125" s="67"/>
      <c r="F1125" s="67"/>
      <c r="G1125" s="96">
        <f>SUM(G1126,)</f>
        <v>110470.8</v>
      </c>
      <c r="H1125" s="99">
        <f>SUM(H1126,)</f>
        <v>-13200</v>
      </c>
      <c r="I1125" s="99">
        <f t="shared" si="114"/>
        <v>97270.8</v>
      </c>
      <c r="J1125" s="99">
        <f>SUM(J1126,)</f>
        <v>11000</v>
      </c>
      <c r="K1125" s="96">
        <f t="shared" si="115"/>
        <v>108270.8</v>
      </c>
      <c r="L1125" s="106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ht="34.5" customHeight="1">
      <c r="A1126" s="124" t="s">
        <v>482</v>
      </c>
      <c r="B1126" s="78">
        <v>841</v>
      </c>
      <c r="C1126" s="67" t="s">
        <v>625</v>
      </c>
      <c r="D1126" s="67" t="s">
        <v>106</v>
      </c>
      <c r="E1126" s="67" t="s">
        <v>483</v>
      </c>
      <c r="F1126" s="67"/>
      <c r="G1126" s="96">
        <f>G1133+G1127</f>
        <v>110470.8</v>
      </c>
      <c r="H1126" s="99">
        <f>H1133+H1127</f>
        <v>-13200</v>
      </c>
      <c r="I1126" s="99">
        <f t="shared" si="114"/>
        <v>97270.8</v>
      </c>
      <c r="J1126" s="99">
        <f>J1133+J1127</f>
        <v>11000</v>
      </c>
      <c r="K1126" s="96">
        <f t="shared" si="115"/>
        <v>108270.8</v>
      </c>
      <c r="L1126" s="106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ht="52.5" customHeight="1" hidden="1">
      <c r="A1127" s="124" t="s">
        <v>123</v>
      </c>
      <c r="B1127" s="78">
        <v>841</v>
      </c>
      <c r="C1127" s="67" t="s">
        <v>625</v>
      </c>
      <c r="D1127" s="67" t="s">
        <v>106</v>
      </c>
      <c r="E1127" s="67" t="s">
        <v>120</v>
      </c>
      <c r="F1127" s="67"/>
      <c r="G1127" s="96">
        <f>G1128</f>
        <v>0</v>
      </c>
      <c r="H1127" s="99">
        <f>H1128</f>
        <v>0</v>
      </c>
      <c r="I1127" s="99">
        <f t="shared" si="114"/>
        <v>0</v>
      </c>
      <c r="J1127" s="99">
        <f>J1128</f>
        <v>0</v>
      </c>
      <c r="K1127" s="96">
        <f t="shared" si="115"/>
        <v>0</v>
      </c>
      <c r="L1127" s="106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ht="36" customHeight="1" hidden="1">
      <c r="A1128" s="124" t="s">
        <v>484</v>
      </c>
      <c r="B1128" s="78">
        <v>841</v>
      </c>
      <c r="C1128" s="67" t="s">
        <v>625</v>
      </c>
      <c r="D1128" s="67" t="s">
        <v>106</v>
      </c>
      <c r="E1128" s="67" t="s">
        <v>485</v>
      </c>
      <c r="F1128" s="67"/>
      <c r="G1128" s="96">
        <f>SUM(G1129:G1132)</f>
        <v>0</v>
      </c>
      <c r="H1128" s="99">
        <f>SUM(H1129:H1132)</f>
        <v>0</v>
      </c>
      <c r="I1128" s="99">
        <f t="shared" si="114"/>
        <v>0</v>
      </c>
      <c r="J1128" s="99">
        <f>SUM(J1129:J1132)</f>
        <v>0</v>
      </c>
      <c r="K1128" s="96">
        <f t="shared" si="115"/>
        <v>0</v>
      </c>
      <c r="L1128" s="106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ht="18" customHeight="1" hidden="1">
      <c r="A1129" s="124" t="s">
        <v>0</v>
      </c>
      <c r="B1129" s="78">
        <v>841</v>
      </c>
      <c r="C1129" s="67" t="s">
        <v>625</v>
      </c>
      <c r="D1129" s="67" t="s">
        <v>106</v>
      </c>
      <c r="E1129" s="67" t="s">
        <v>485</v>
      </c>
      <c r="F1129" s="67" t="s">
        <v>135</v>
      </c>
      <c r="G1129" s="96"/>
      <c r="H1129" s="99"/>
      <c r="I1129" s="99">
        <f t="shared" si="114"/>
        <v>0</v>
      </c>
      <c r="J1129" s="99"/>
      <c r="K1129" s="96">
        <f t="shared" si="115"/>
        <v>0</v>
      </c>
      <c r="L1129" s="106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ht="18" customHeight="1" hidden="1">
      <c r="A1130" s="124" t="s">
        <v>424</v>
      </c>
      <c r="B1130" s="78">
        <v>841</v>
      </c>
      <c r="C1130" s="67" t="s">
        <v>625</v>
      </c>
      <c r="D1130" s="67" t="s">
        <v>106</v>
      </c>
      <c r="E1130" s="67" t="s">
        <v>485</v>
      </c>
      <c r="F1130" s="67" t="s">
        <v>136</v>
      </c>
      <c r="G1130" s="96"/>
      <c r="H1130" s="99"/>
      <c r="I1130" s="99">
        <f t="shared" si="114"/>
        <v>0</v>
      </c>
      <c r="J1130" s="99"/>
      <c r="K1130" s="96">
        <f t="shared" si="115"/>
        <v>0</v>
      </c>
      <c r="L1130" s="106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ht="20.25" customHeight="1" hidden="1">
      <c r="A1131" s="124" t="s">
        <v>330</v>
      </c>
      <c r="B1131" s="78">
        <v>841</v>
      </c>
      <c r="C1131" s="67" t="s">
        <v>625</v>
      </c>
      <c r="D1131" s="67" t="s">
        <v>106</v>
      </c>
      <c r="E1131" s="67" t="s">
        <v>485</v>
      </c>
      <c r="F1131" s="67" t="s">
        <v>137</v>
      </c>
      <c r="G1131" s="96"/>
      <c r="H1131" s="99"/>
      <c r="I1131" s="99">
        <f t="shared" si="114"/>
        <v>0</v>
      </c>
      <c r="J1131" s="99"/>
      <c r="K1131" s="96">
        <f t="shared" si="115"/>
        <v>0</v>
      </c>
      <c r="L1131" s="106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ht="20.25" customHeight="1" hidden="1">
      <c r="A1132" s="124" t="s">
        <v>331</v>
      </c>
      <c r="B1132" s="78">
        <v>841</v>
      </c>
      <c r="C1132" s="67" t="s">
        <v>625</v>
      </c>
      <c r="D1132" s="67" t="s">
        <v>106</v>
      </c>
      <c r="E1132" s="67" t="s">
        <v>485</v>
      </c>
      <c r="F1132" s="67" t="s">
        <v>138</v>
      </c>
      <c r="G1132" s="96"/>
      <c r="H1132" s="99"/>
      <c r="I1132" s="99">
        <f t="shared" si="114"/>
        <v>0</v>
      </c>
      <c r="J1132" s="99"/>
      <c r="K1132" s="96">
        <f t="shared" si="115"/>
        <v>0</v>
      </c>
      <c r="L1132" s="106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ht="16.5">
      <c r="A1133" s="124" t="s">
        <v>7</v>
      </c>
      <c r="B1133" s="78">
        <v>841</v>
      </c>
      <c r="C1133" s="67" t="s">
        <v>625</v>
      </c>
      <c r="D1133" s="67" t="s">
        <v>106</v>
      </c>
      <c r="E1133" s="67" t="s">
        <v>33</v>
      </c>
      <c r="F1133" s="67"/>
      <c r="G1133" s="96">
        <f>G1134+G1138+G1140+G1142</f>
        <v>110470.8</v>
      </c>
      <c r="H1133" s="99">
        <f>H1134+H1138+H1140+H1142</f>
        <v>-13200</v>
      </c>
      <c r="I1133" s="99">
        <f t="shared" si="114"/>
        <v>97270.8</v>
      </c>
      <c r="J1133" s="99">
        <f>J1134+J1138+J1140+J1142+J1136</f>
        <v>11000</v>
      </c>
      <c r="K1133" s="96">
        <f t="shared" si="115"/>
        <v>108270.8</v>
      </c>
      <c r="L1133" s="106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ht="18.75" customHeight="1">
      <c r="A1134" s="124" t="s">
        <v>343</v>
      </c>
      <c r="B1134" s="78">
        <v>841</v>
      </c>
      <c r="C1134" s="67" t="s">
        <v>625</v>
      </c>
      <c r="D1134" s="67" t="s">
        <v>106</v>
      </c>
      <c r="E1134" s="67" t="s">
        <v>36</v>
      </c>
      <c r="F1134" s="67"/>
      <c r="G1134" s="96">
        <f>SUM(G1135)</f>
        <v>5070.8</v>
      </c>
      <c r="H1134" s="99">
        <f>SUM(H1135)</f>
        <v>-3500</v>
      </c>
      <c r="I1134" s="99">
        <f t="shared" si="114"/>
        <v>1570.8000000000002</v>
      </c>
      <c r="J1134" s="99">
        <f>SUM(J1135)</f>
        <v>0</v>
      </c>
      <c r="K1134" s="96">
        <f t="shared" si="115"/>
        <v>1570.8000000000002</v>
      </c>
      <c r="L1134" s="106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ht="16.5">
      <c r="A1135" s="135" t="s">
        <v>492</v>
      </c>
      <c r="B1135" s="78">
        <v>841</v>
      </c>
      <c r="C1135" s="67" t="s">
        <v>625</v>
      </c>
      <c r="D1135" s="67" t="s">
        <v>106</v>
      </c>
      <c r="E1135" s="67" t="s">
        <v>36</v>
      </c>
      <c r="F1135" s="67" t="s">
        <v>49</v>
      </c>
      <c r="G1135" s="96">
        <f>1170.8+3900</f>
        <v>5070.8</v>
      </c>
      <c r="H1135" s="104">
        <v>-3500</v>
      </c>
      <c r="I1135" s="99">
        <f t="shared" si="114"/>
        <v>1570.8000000000002</v>
      </c>
      <c r="J1135" s="104"/>
      <c r="K1135" s="96">
        <f t="shared" si="115"/>
        <v>1570.8000000000002</v>
      </c>
      <c r="L1135" s="106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ht="33">
      <c r="A1136" s="135" t="s">
        <v>812</v>
      </c>
      <c r="B1136" s="78">
        <v>841</v>
      </c>
      <c r="C1136" s="67" t="s">
        <v>625</v>
      </c>
      <c r="D1136" s="67" t="s">
        <v>106</v>
      </c>
      <c r="E1136" s="67" t="s">
        <v>35</v>
      </c>
      <c r="F1136" s="67"/>
      <c r="G1136" s="96"/>
      <c r="H1136" s="104"/>
      <c r="I1136" s="99"/>
      <c r="J1136" s="104">
        <f>J1137</f>
        <v>1000</v>
      </c>
      <c r="K1136" s="96">
        <f t="shared" si="115"/>
        <v>1000</v>
      </c>
      <c r="L1136" s="106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ht="16.5">
      <c r="A1137" s="135" t="s">
        <v>492</v>
      </c>
      <c r="B1137" s="78">
        <v>841</v>
      </c>
      <c r="C1137" s="67" t="s">
        <v>625</v>
      </c>
      <c r="D1137" s="67" t="s">
        <v>106</v>
      </c>
      <c r="E1137" s="67" t="s">
        <v>35</v>
      </c>
      <c r="F1137" s="67" t="s">
        <v>49</v>
      </c>
      <c r="G1137" s="96"/>
      <c r="H1137" s="104"/>
      <c r="I1137" s="99"/>
      <c r="J1137" s="104">
        <v>1000</v>
      </c>
      <c r="K1137" s="96">
        <f t="shared" si="115"/>
        <v>1000</v>
      </c>
      <c r="L1137" s="106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ht="52.5" customHeight="1">
      <c r="A1138" s="135" t="s">
        <v>641</v>
      </c>
      <c r="B1138" s="78">
        <v>841</v>
      </c>
      <c r="C1138" s="67" t="s">
        <v>625</v>
      </c>
      <c r="D1138" s="67" t="s">
        <v>106</v>
      </c>
      <c r="E1138" s="67" t="s">
        <v>41</v>
      </c>
      <c r="F1138" s="67"/>
      <c r="G1138" s="96">
        <f>SUM(G1139)</f>
        <v>91700</v>
      </c>
      <c r="H1138" s="99">
        <f>SUM(H1139)</f>
        <v>0</v>
      </c>
      <c r="I1138" s="99">
        <f t="shared" si="114"/>
        <v>91700</v>
      </c>
      <c r="J1138" s="99">
        <f>SUM(J1139)</f>
        <v>0</v>
      </c>
      <c r="K1138" s="96">
        <f t="shared" si="115"/>
        <v>91700</v>
      </c>
      <c r="L1138" s="106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178" s="47" customFormat="1" ht="16.5">
      <c r="A1139" s="135" t="s">
        <v>492</v>
      </c>
      <c r="B1139" s="78">
        <v>841</v>
      </c>
      <c r="C1139" s="67" t="s">
        <v>625</v>
      </c>
      <c r="D1139" s="67" t="s">
        <v>106</v>
      </c>
      <c r="E1139" s="67" t="s">
        <v>41</v>
      </c>
      <c r="F1139" s="67" t="s">
        <v>49</v>
      </c>
      <c r="G1139" s="96">
        <v>91700</v>
      </c>
      <c r="H1139" s="104"/>
      <c r="I1139" s="99">
        <f t="shared" si="114"/>
        <v>91700</v>
      </c>
      <c r="J1139" s="104"/>
      <c r="K1139" s="96">
        <f t="shared" si="115"/>
        <v>91700</v>
      </c>
      <c r="L1139" s="106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  <c r="BK1139" s="38"/>
      <c r="BL1139" s="38"/>
      <c r="BM1139" s="38"/>
      <c r="BN1139" s="38"/>
      <c r="BO1139" s="38"/>
      <c r="BP1139" s="38"/>
      <c r="BQ1139" s="38"/>
      <c r="BR1139" s="38"/>
      <c r="BS1139" s="38"/>
      <c r="BT1139" s="38"/>
      <c r="BU1139" s="38"/>
      <c r="BV1139" s="38"/>
      <c r="BW1139" s="38"/>
      <c r="BX1139" s="38"/>
      <c r="BY1139" s="38"/>
      <c r="BZ1139" s="38"/>
      <c r="CA1139" s="38"/>
      <c r="CB1139" s="38"/>
      <c r="CC1139" s="38"/>
      <c r="CD1139" s="38"/>
      <c r="CE1139" s="38"/>
      <c r="CF1139" s="38"/>
      <c r="CG1139" s="38"/>
      <c r="CH1139" s="38"/>
      <c r="CI1139" s="38"/>
      <c r="CJ1139" s="38"/>
      <c r="CK1139" s="38"/>
      <c r="CL1139" s="38"/>
      <c r="CM1139" s="38"/>
      <c r="CN1139" s="38"/>
      <c r="CO1139" s="38"/>
      <c r="CP1139" s="38"/>
      <c r="CQ1139" s="38"/>
      <c r="CR1139" s="38"/>
      <c r="CS1139" s="38"/>
      <c r="CT1139" s="38"/>
      <c r="CU1139" s="38"/>
      <c r="CV1139" s="38"/>
      <c r="CW1139" s="38"/>
      <c r="CX1139" s="38"/>
      <c r="CY1139" s="38"/>
      <c r="CZ1139" s="38"/>
      <c r="DA1139" s="38"/>
      <c r="DB1139" s="38"/>
      <c r="DC1139" s="38"/>
      <c r="DD1139" s="38"/>
      <c r="DE1139" s="38"/>
      <c r="DF1139" s="38"/>
      <c r="DG1139" s="38"/>
      <c r="DH1139" s="38"/>
      <c r="DI1139" s="38"/>
      <c r="DJ1139" s="38"/>
      <c r="DK1139" s="38"/>
      <c r="DL1139" s="38"/>
      <c r="DM1139" s="38"/>
      <c r="DN1139" s="38"/>
      <c r="DO1139" s="38"/>
      <c r="DP1139" s="38"/>
      <c r="DQ1139" s="38"/>
      <c r="DR1139" s="38"/>
      <c r="DS1139" s="38"/>
      <c r="DT1139" s="38"/>
      <c r="DU1139" s="38"/>
      <c r="DV1139" s="38"/>
      <c r="DW1139" s="38"/>
      <c r="DX1139" s="38"/>
      <c r="DY1139" s="38"/>
      <c r="DZ1139" s="38"/>
      <c r="EA1139" s="38"/>
      <c r="EB1139" s="38"/>
      <c r="EC1139" s="38"/>
      <c r="ED1139" s="38"/>
      <c r="EE1139" s="38"/>
      <c r="EF1139" s="38"/>
      <c r="EG1139" s="38"/>
      <c r="EH1139" s="38"/>
      <c r="EI1139" s="38"/>
      <c r="EJ1139" s="38"/>
      <c r="EK1139" s="38"/>
      <c r="EL1139" s="38"/>
      <c r="EM1139" s="38"/>
      <c r="EN1139" s="38"/>
      <c r="EO1139" s="38"/>
      <c r="EP1139" s="38"/>
      <c r="EQ1139" s="38"/>
      <c r="ER1139" s="38"/>
      <c r="ES1139" s="38"/>
      <c r="ET1139" s="38"/>
      <c r="EU1139" s="38"/>
      <c r="EV1139" s="38"/>
      <c r="EW1139" s="38"/>
      <c r="EX1139" s="38"/>
      <c r="EY1139" s="38"/>
      <c r="EZ1139" s="38"/>
      <c r="FA1139" s="38"/>
      <c r="FB1139" s="38"/>
      <c r="FC1139" s="38"/>
      <c r="FD1139" s="38"/>
      <c r="FE1139" s="38"/>
      <c r="FF1139" s="38"/>
      <c r="FG1139" s="38"/>
      <c r="FH1139" s="38"/>
      <c r="FI1139" s="38"/>
      <c r="FJ1139" s="38"/>
      <c r="FK1139" s="38"/>
      <c r="FL1139" s="38"/>
      <c r="FM1139" s="38"/>
      <c r="FN1139" s="38"/>
      <c r="FO1139" s="38"/>
      <c r="FP1139" s="38"/>
      <c r="FQ1139" s="38"/>
      <c r="FR1139" s="38"/>
      <c r="FS1139" s="38"/>
      <c r="FT1139" s="38"/>
      <c r="FU1139" s="38"/>
      <c r="FV1139" s="38"/>
    </row>
    <row r="1140" spans="1:178" s="48" customFormat="1" ht="18.75" customHeight="1">
      <c r="A1140" s="135" t="s">
        <v>640</v>
      </c>
      <c r="B1140" s="78">
        <v>841</v>
      </c>
      <c r="C1140" s="67" t="s">
        <v>625</v>
      </c>
      <c r="D1140" s="67" t="s">
        <v>106</v>
      </c>
      <c r="E1140" s="67" t="s">
        <v>42</v>
      </c>
      <c r="F1140" s="67"/>
      <c r="G1140" s="96">
        <f>SUM(G1141)</f>
        <v>10700</v>
      </c>
      <c r="H1140" s="99">
        <f>SUM(H1141)</f>
        <v>-9700</v>
      </c>
      <c r="I1140" s="99">
        <f t="shared" si="114"/>
        <v>1000</v>
      </c>
      <c r="J1140" s="99">
        <f>SUM(J1141)</f>
        <v>10000</v>
      </c>
      <c r="K1140" s="96">
        <f t="shared" si="115"/>
        <v>11000</v>
      </c>
      <c r="L1140" s="106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8"/>
      <c r="BQ1140" s="38"/>
      <c r="BR1140" s="38"/>
      <c r="BS1140" s="38"/>
      <c r="BT1140" s="38"/>
      <c r="BU1140" s="38"/>
      <c r="BV1140" s="38"/>
      <c r="BW1140" s="38"/>
      <c r="BX1140" s="38"/>
      <c r="BY1140" s="38"/>
      <c r="BZ1140" s="38"/>
      <c r="CA1140" s="38"/>
      <c r="CB1140" s="38"/>
      <c r="CC1140" s="38"/>
      <c r="CD1140" s="38"/>
      <c r="CE1140" s="38"/>
      <c r="CF1140" s="38"/>
      <c r="CG1140" s="38"/>
      <c r="CH1140" s="38"/>
      <c r="CI1140" s="38"/>
      <c r="CJ1140" s="38"/>
      <c r="CK1140" s="38"/>
      <c r="CL1140" s="38"/>
      <c r="CM1140" s="38"/>
      <c r="CN1140" s="38"/>
      <c r="CO1140" s="38"/>
      <c r="CP1140" s="38"/>
      <c r="CQ1140" s="38"/>
      <c r="CR1140" s="38"/>
      <c r="CS1140" s="38"/>
      <c r="CT1140" s="38"/>
      <c r="CU1140" s="38"/>
      <c r="CV1140" s="38"/>
      <c r="CW1140" s="38"/>
      <c r="CX1140" s="38"/>
      <c r="CY1140" s="38"/>
      <c r="CZ1140" s="38"/>
      <c r="DA1140" s="38"/>
      <c r="DB1140" s="38"/>
      <c r="DC1140" s="38"/>
      <c r="DD1140" s="38"/>
      <c r="DE1140" s="38"/>
      <c r="DF1140" s="38"/>
      <c r="DG1140" s="38"/>
      <c r="DH1140" s="38"/>
      <c r="DI1140" s="38"/>
      <c r="DJ1140" s="38"/>
      <c r="DK1140" s="38"/>
      <c r="DL1140" s="38"/>
      <c r="DM1140" s="38"/>
      <c r="DN1140" s="38"/>
      <c r="DO1140" s="38"/>
      <c r="DP1140" s="38"/>
      <c r="DQ1140" s="38"/>
      <c r="DR1140" s="38"/>
      <c r="DS1140" s="38"/>
      <c r="DT1140" s="38"/>
      <c r="DU1140" s="38"/>
      <c r="DV1140" s="38"/>
      <c r="DW1140" s="38"/>
      <c r="DX1140" s="38"/>
      <c r="DY1140" s="38"/>
      <c r="DZ1140" s="38"/>
      <c r="EA1140" s="38"/>
      <c r="EB1140" s="38"/>
      <c r="EC1140" s="38"/>
      <c r="ED1140" s="38"/>
      <c r="EE1140" s="38"/>
      <c r="EF1140" s="38"/>
      <c r="EG1140" s="38"/>
      <c r="EH1140" s="38"/>
      <c r="EI1140" s="38"/>
      <c r="EJ1140" s="38"/>
      <c r="EK1140" s="38"/>
      <c r="EL1140" s="38"/>
      <c r="EM1140" s="38"/>
      <c r="EN1140" s="38"/>
      <c r="EO1140" s="38"/>
      <c r="EP1140" s="38"/>
      <c r="EQ1140" s="38"/>
      <c r="ER1140" s="38"/>
      <c r="ES1140" s="38"/>
      <c r="ET1140" s="38"/>
      <c r="EU1140" s="38"/>
      <c r="EV1140" s="38"/>
      <c r="EW1140" s="38"/>
      <c r="EX1140" s="38"/>
      <c r="EY1140" s="38"/>
      <c r="EZ1140" s="38"/>
      <c r="FA1140" s="38"/>
      <c r="FB1140" s="38"/>
      <c r="FC1140" s="38"/>
      <c r="FD1140" s="38"/>
      <c r="FE1140" s="38"/>
      <c r="FF1140" s="38"/>
      <c r="FG1140" s="38"/>
      <c r="FH1140" s="38"/>
      <c r="FI1140" s="38"/>
      <c r="FJ1140" s="38"/>
      <c r="FK1140" s="38"/>
      <c r="FL1140" s="38"/>
      <c r="FM1140" s="38"/>
      <c r="FN1140" s="38"/>
      <c r="FO1140" s="38"/>
      <c r="FP1140" s="38"/>
      <c r="FQ1140" s="38"/>
      <c r="FR1140" s="38"/>
      <c r="FS1140" s="38"/>
      <c r="FT1140" s="38"/>
      <c r="FU1140" s="38"/>
      <c r="FV1140" s="38"/>
    </row>
    <row r="1141" spans="1:178" ht="16.5">
      <c r="A1141" s="135" t="s">
        <v>271</v>
      </c>
      <c r="B1141" s="78">
        <v>841</v>
      </c>
      <c r="C1141" s="67" t="s">
        <v>625</v>
      </c>
      <c r="D1141" s="67" t="s">
        <v>106</v>
      </c>
      <c r="E1141" s="67" t="s">
        <v>42</v>
      </c>
      <c r="F1141" s="67" t="s">
        <v>49</v>
      </c>
      <c r="G1141" s="96">
        <v>10700</v>
      </c>
      <c r="H1141" s="104">
        <v>-9700</v>
      </c>
      <c r="I1141" s="99">
        <f t="shared" si="114"/>
        <v>1000</v>
      </c>
      <c r="J1141" s="104">
        <v>10000</v>
      </c>
      <c r="K1141" s="96">
        <f t="shared" si="115"/>
        <v>11000</v>
      </c>
      <c r="L1141" s="106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8"/>
      <c r="BK1141" s="38"/>
      <c r="BL1141" s="38"/>
      <c r="BM1141" s="38"/>
      <c r="BN1141" s="38"/>
      <c r="BO1141" s="38"/>
      <c r="BP1141" s="38"/>
      <c r="BQ1141" s="38"/>
      <c r="BR1141" s="38"/>
      <c r="BS1141" s="38"/>
      <c r="BT1141" s="38"/>
      <c r="BU1141" s="38"/>
      <c r="BV1141" s="38"/>
      <c r="BW1141" s="38"/>
      <c r="BX1141" s="38"/>
      <c r="BY1141" s="38"/>
      <c r="BZ1141" s="38"/>
      <c r="CA1141" s="38"/>
      <c r="CB1141" s="38"/>
      <c r="CC1141" s="38"/>
      <c r="CD1141" s="38"/>
      <c r="CE1141" s="38"/>
      <c r="CF1141" s="38"/>
      <c r="CG1141" s="38"/>
      <c r="CH1141" s="38"/>
      <c r="CI1141" s="38"/>
      <c r="CJ1141" s="38"/>
      <c r="CK1141" s="38"/>
      <c r="CL1141" s="38"/>
      <c r="CM1141" s="38"/>
      <c r="CN1141" s="38"/>
      <c r="CO1141" s="38"/>
      <c r="CP1141" s="38"/>
      <c r="CQ1141" s="38"/>
      <c r="CR1141" s="38"/>
      <c r="CS1141" s="38"/>
      <c r="CT1141" s="38"/>
      <c r="CU1141" s="38"/>
      <c r="CV1141" s="38"/>
      <c r="CW1141" s="38"/>
      <c r="CX1141" s="38"/>
      <c r="CY1141" s="38"/>
      <c r="CZ1141" s="38"/>
      <c r="DA1141" s="38"/>
      <c r="DB1141" s="38"/>
      <c r="DC1141" s="38"/>
      <c r="DD1141" s="38"/>
      <c r="DE1141" s="38"/>
      <c r="DF1141" s="38"/>
      <c r="DG1141" s="38"/>
      <c r="DH1141" s="38"/>
      <c r="DI1141" s="38"/>
      <c r="DJ1141" s="38"/>
      <c r="DK1141" s="38"/>
      <c r="DL1141" s="38"/>
      <c r="DM1141" s="38"/>
      <c r="DN1141" s="38"/>
      <c r="DO1141" s="38"/>
      <c r="DP1141" s="38"/>
      <c r="DQ1141" s="38"/>
      <c r="DR1141" s="38"/>
      <c r="DS1141" s="38"/>
      <c r="DT1141" s="38"/>
      <c r="DU1141" s="38"/>
      <c r="DV1141" s="38"/>
      <c r="DW1141" s="38"/>
      <c r="DX1141" s="38"/>
      <c r="DY1141" s="38"/>
      <c r="DZ1141" s="38"/>
      <c r="EA1141" s="38"/>
      <c r="EB1141" s="38"/>
      <c r="EC1141" s="38"/>
      <c r="ED1141" s="38"/>
      <c r="EE1141" s="38"/>
      <c r="EF1141" s="38"/>
      <c r="EG1141" s="38"/>
      <c r="EH1141" s="38"/>
      <c r="EI1141" s="38"/>
      <c r="EJ1141" s="38"/>
      <c r="EK1141" s="38"/>
      <c r="EL1141" s="38"/>
      <c r="EM1141" s="38"/>
      <c r="EN1141" s="38"/>
      <c r="EO1141" s="38"/>
      <c r="EP1141" s="38"/>
      <c r="EQ1141" s="38"/>
      <c r="ER1141" s="38"/>
      <c r="ES1141" s="38"/>
      <c r="ET1141" s="38"/>
      <c r="EU1141" s="38"/>
      <c r="EV1141" s="38"/>
      <c r="EW1141" s="38"/>
      <c r="EX1141" s="38"/>
      <c r="EY1141" s="38"/>
      <c r="EZ1141" s="38"/>
      <c r="FA1141" s="38"/>
      <c r="FB1141" s="38"/>
      <c r="FC1141" s="38"/>
      <c r="FD1141" s="38"/>
      <c r="FE1141" s="38"/>
      <c r="FF1141" s="38"/>
      <c r="FG1141" s="38"/>
      <c r="FH1141" s="38"/>
      <c r="FI1141" s="38"/>
      <c r="FJ1141" s="38"/>
      <c r="FK1141" s="38"/>
      <c r="FL1141" s="38"/>
      <c r="FM1141" s="38"/>
      <c r="FN1141" s="38"/>
      <c r="FO1141" s="38"/>
      <c r="FP1141" s="38"/>
      <c r="FQ1141" s="38"/>
      <c r="FR1141" s="38"/>
      <c r="FS1141" s="38"/>
      <c r="FT1141" s="38"/>
      <c r="FU1141" s="38"/>
      <c r="FV1141" s="38"/>
    </row>
    <row r="1142" spans="1:178" ht="16.5">
      <c r="A1142" s="135" t="s">
        <v>363</v>
      </c>
      <c r="B1142" s="78">
        <v>841</v>
      </c>
      <c r="C1142" s="67" t="s">
        <v>625</v>
      </c>
      <c r="D1142" s="67" t="s">
        <v>106</v>
      </c>
      <c r="E1142" s="67" t="s">
        <v>346</v>
      </c>
      <c r="F1142" s="67"/>
      <c r="G1142" s="96">
        <f>G1143</f>
        <v>3000</v>
      </c>
      <c r="H1142" s="99">
        <f>H1143</f>
        <v>0</v>
      </c>
      <c r="I1142" s="99">
        <f t="shared" si="114"/>
        <v>3000</v>
      </c>
      <c r="J1142" s="99">
        <f>J1143</f>
        <v>0</v>
      </c>
      <c r="K1142" s="96">
        <f t="shared" si="115"/>
        <v>3000</v>
      </c>
      <c r="L1142" s="106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8"/>
      <c r="BU1142" s="38"/>
      <c r="BV1142" s="38"/>
      <c r="BW1142" s="38"/>
      <c r="BX1142" s="38"/>
      <c r="BY1142" s="38"/>
      <c r="BZ1142" s="38"/>
      <c r="CA1142" s="38"/>
      <c r="CB1142" s="38"/>
      <c r="CC1142" s="38"/>
      <c r="CD1142" s="38"/>
      <c r="CE1142" s="38"/>
      <c r="CF1142" s="38"/>
      <c r="CG1142" s="38"/>
      <c r="CH1142" s="38"/>
      <c r="CI1142" s="38"/>
      <c r="CJ1142" s="38"/>
      <c r="CK1142" s="38"/>
      <c r="CL1142" s="38"/>
      <c r="CM1142" s="38"/>
      <c r="CN1142" s="38"/>
      <c r="CO1142" s="38"/>
      <c r="CP1142" s="38"/>
      <c r="CQ1142" s="38"/>
      <c r="CR1142" s="38"/>
      <c r="CS1142" s="38"/>
      <c r="CT1142" s="38"/>
      <c r="CU1142" s="38"/>
      <c r="CV1142" s="38"/>
      <c r="CW1142" s="38"/>
      <c r="CX1142" s="38"/>
      <c r="CY1142" s="38"/>
      <c r="CZ1142" s="38"/>
      <c r="DA1142" s="38"/>
      <c r="DB1142" s="38"/>
      <c r="DC1142" s="38"/>
      <c r="DD1142" s="38"/>
      <c r="DE1142" s="38"/>
      <c r="DF1142" s="38"/>
      <c r="DG1142" s="38"/>
      <c r="DH1142" s="38"/>
      <c r="DI1142" s="38"/>
      <c r="DJ1142" s="38"/>
      <c r="DK1142" s="38"/>
      <c r="DL1142" s="38"/>
      <c r="DM1142" s="38"/>
      <c r="DN1142" s="38"/>
      <c r="DO1142" s="38"/>
      <c r="DP1142" s="38"/>
      <c r="DQ1142" s="38"/>
      <c r="DR1142" s="38"/>
      <c r="DS1142" s="38"/>
      <c r="DT1142" s="38"/>
      <c r="DU1142" s="38"/>
      <c r="DV1142" s="38"/>
      <c r="DW1142" s="38"/>
      <c r="DX1142" s="38"/>
      <c r="DY1142" s="38"/>
      <c r="DZ1142" s="38"/>
      <c r="EA1142" s="38"/>
      <c r="EB1142" s="38"/>
      <c r="EC1142" s="38"/>
      <c r="ED1142" s="38"/>
      <c r="EE1142" s="38"/>
      <c r="EF1142" s="38"/>
      <c r="EG1142" s="38"/>
      <c r="EH1142" s="38"/>
      <c r="EI1142" s="38"/>
      <c r="EJ1142" s="38"/>
      <c r="EK1142" s="38"/>
      <c r="EL1142" s="38"/>
      <c r="EM1142" s="38"/>
      <c r="EN1142" s="38"/>
      <c r="EO1142" s="38"/>
      <c r="EP1142" s="38"/>
      <c r="EQ1142" s="38"/>
      <c r="ER1142" s="38"/>
      <c r="ES1142" s="38"/>
      <c r="ET1142" s="38"/>
      <c r="EU1142" s="38"/>
      <c r="EV1142" s="38"/>
      <c r="EW1142" s="38"/>
      <c r="EX1142" s="38"/>
      <c r="EY1142" s="38"/>
      <c r="EZ1142" s="38"/>
      <c r="FA1142" s="38"/>
      <c r="FB1142" s="38"/>
      <c r="FC1142" s="38"/>
      <c r="FD1142" s="38"/>
      <c r="FE1142" s="38"/>
      <c r="FF1142" s="38"/>
      <c r="FG1142" s="38"/>
      <c r="FH1142" s="38"/>
      <c r="FI1142" s="38"/>
      <c r="FJ1142" s="38"/>
      <c r="FK1142" s="38"/>
      <c r="FL1142" s="38"/>
      <c r="FM1142" s="38"/>
      <c r="FN1142" s="38"/>
      <c r="FO1142" s="38"/>
      <c r="FP1142" s="38"/>
      <c r="FQ1142" s="38"/>
      <c r="FR1142" s="38"/>
      <c r="FS1142" s="38"/>
      <c r="FT1142" s="38"/>
      <c r="FU1142" s="38"/>
      <c r="FV1142" s="38"/>
    </row>
    <row r="1143" spans="1:26" ht="16.5">
      <c r="A1143" s="135" t="s">
        <v>763</v>
      </c>
      <c r="B1143" s="78">
        <v>841</v>
      </c>
      <c r="C1143" s="67" t="s">
        <v>625</v>
      </c>
      <c r="D1143" s="67" t="s">
        <v>106</v>
      </c>
      <c r="E1143" s="67" t="s">
        <v>346</v>
      </c>
      <c r="F1143" s="67" t="s">
        <v>49</v>
      </c>
      <c r="G1143" s="96">
        <v>3000</v>
      </c>
      <c r="H1143" s="104"/>
      <c r="I1143" s="99">
        <f t="shared" si="114"/>
        <v>3000</v>
      </c>
      <c r="J1143" s="104"/>
      <c r="K1143" s="96">
        <f t="shared" si="115"/>
        <v>3000</v>
      </c>
      <c r="L1143" s="106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ht="18" customHeight="1">
      <c r="A1144" s="136" t="s">
        <v>292</v>
      </c>
      <c r="B1144" s="78">
        <v>841</v>
      </c>
      <c r="C1144" s="67" t="s">
        <v>109</v>
      </c>
      <c r="D1144" s="67"/>
      <c r="E1144" s="67"/>
      <c r="F1144" s="67"/>
      <c r="G1144" s="96">
        <f>SUM(G1145)</f>
        <v>0</v>
      </c>
      <c r="H1144" s="104"/>
      <c r="I1144" s="99">
        <f t="shared" si="114"/>
        <v>0</v>
      </c>
      <c r="J1144" s="104">
        <f>J1145</f>
        <v>2000</v>
      </c>
      <c r="K1144" s="96">
        <f t="shared" si="115"/>
        <v>2000</v>
      </c>
      <c r="L1144" s="106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ht="18" customHeight="1">
      <c r="A1145" s="124" t="s">
        <v>296</v>
      </c>
      <c r="B1145" s="78">
        <v>841</v>
      </c>
      <c r="C1145" s="67" t="s">
        <v>109</v>
      </c>
      <c r="D1145" s="67" t="s">
        <v>27</v>
      </c>
      <c r="E1145" s="67"/>
      <c r="F1145" s="67"/>
      <c r="G1145" s="96">
        <f>SUM(G1146)</f>
        <v>0</v>
      </c>
      <c r="H1145" s="104"/>
      <c r="I1145" s="99">
        <f t="shared" si="114"/>
        <v>0</v>
      </c>
      <c r="J1145" s="104">
        <f>J1151</f>
        <v>2000</v>
      </c>
      <c r="K1145" s="96">
        <f t="shared" si="115"/>
        <v>2000</v>
      </c>
      <c r="L1145" s="106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ht="19.5" customHeight="1" hidden="1">
      <c r="A1146" s="124" t="s">
        <v>482</v>
      </c>
      <c r="B1146" s="78">
        <v>841</v>
      </c>
      <c r="C1146" s="67" t="s">
        <v>109</v>
      </c>
      <c r="D1146" s="67" t="s">
        <v>27</v>
      </c>
      <c r="E1146" s="67" t="s">
        <v>483</v>
      </c>
      <c r="F1146" s="67"/>
      <c r="G1146" s="96">
        <f>SUM(G1151,G1147)</f>
        <v>0</v>
      </c>
      <c r="H1146" s="104"/>
      <c r="I1146" s="99">
        <f aca="true" t="shared" si="118" ref="I1146:I1184">H1146+G1146</f>
        <v>0</v>
      </c>
      <c r="J1146" s="104"/>
      <c r="K1146" s="96">
        <f t="shared" si="115"/>
        <v>0</v>
      </c>
      <c r="L1146" s="106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ht="51" customHeight="1" hidden="1">
      <c r="A1147" s="124" t="s">
        <v>123</v>
      </c>
      <c r="B1147" s="78">
        <v>841</v>
      </c>
      <c r="C1147" s="67" t="s">
        <v>109</v>
      </c>
      <c r="D1147" s="67" t="s">
        <v>27</v>
      </c>
      <c r="E1147" s="67" t="s">
        <v>120</v>
      </c>
      <c r="F1147" s="67"/>
      <c r="G1147" s="96">
        <f>SUM(G1148)</f>
        <v>0</v>
      </c>
      <c r="H1147" s="104"/>
      <c r="I1147" s="99">
        <f t="shared" si="118"/>
        <v>0</v>
      </c>
      <c r="J1147" s="104"/>
      <c r="K1147" s="96">
        <f t="shared" si="115"/>
        <v>0</v>
      </c>
      <c r="L1147" s="106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ht="34.5" customHeight="1" hidden="1">
      <c r="A1148" s="124" t="s">
        <v>270</v>
      </c>
      <c r="B1148" s="78">
        <v>841</v>
      </c>
      <c r="C1148" s="67" t="s">
        <v>109</v>
      </c>
      <c r="D1148" s="67" t="s">
        <v>27</v>
      </c>
      <c r="E1148" s="67" t="s">
        <v>485</v>
      </c>
      <c r="F1148" s="67"/>
      <c r="G1148" s="96">
        <f>SUM(G1149:G1150)</f>
        <v>0</v>
      </c>
      <c r="H1148" s="104"/>
      <c r="I1148" s="99">
        <f t="shared" si="118"/>
        <v>0</v>
      </c>
      <c r="J1148" s="104"/>
      <c r="K1148" s="96">
        <f t="shared" si="115"/>
        <v>0</v>
      </c>
      <c r="L1148" s="106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ht="18.75" customHeight="1" hidden="1">
      <c r="A1149" s="124" t="s">
        <v>6</v>
      </c>
      <c r="B1149" s="78">
        <v>841</v>
      </c>
      <c r="C1149" s="67" t="s">
        <v>109</v>
      </c>
      <c r="D1149" s="67" t="s">
        <v>27</v>
      </c>
      <c r="E1149" s="67" t="s">
        <v>485</v>
      </c>
      <c r="F1149" s="67" t="s">
        <v>139</v>
      </c>
      <c r="G1149" s="96"/>
      <c r="H1149" s="104"/>
      <c r="I1149" s="99">
        <f t="shared" si="118"/>
        <v>0</v>
      </c>
      <c r="J1149" s="104"/>
      <c r="K1149" s="96">
        <f t="shared" si="115"/>
        <v>0</v>
      </c>
      <c r="L1149" s="106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ht="20.25" customHeight="1" hidden="1">
      <c r="A1150" s="135" t="s">
        <v>333</v>
      </c>
      <c r="B1150" s="78">
        <v>841</v>
      </c>
      <c r="C1150" s="67" t="s">
        <v>109</v>
      </c>
      <c r="D1150" s="67" t="s">
        <v>27</v>
      </c>
      <c r="E1150" s="67" t="s">
        <v>485</v>
      </c>
      <c r="F1150" s="67" t="s">
        <v>140</v>
      </c>
      <c r="G1150" s="96"/>
      <c r="H1150" s="104"/>
      <c r="I1150" s="99">
        <f t="shared" si="118"/>
        <v>0</v>
      </c>
      <c r="J1150" s="104"/>
      <c r="K1150" s="96">
        <f t="shared" si="115"/>
        <v>0</v>
      </c>
      <c r="L1150" s="106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ht="16.5">
      <c r="A1151" s="124" t="s">
        <v>7</v>
      </c>
      <c r="B1151" s="78">
        <v>841</v>
      </c>
      <c r="C1151" s="67" t="s">
        <v>109</v>
      </c>
      <c r="D1151" s="67" t="s">
        <v>27</v>
      </c>
      <c r="E1151" s="67" t="s">
        <v>33</v>
      </c>
      <c r="F1151" s="67"/>
      <c r="G1151" s="96">
        <f>G1152+G1154</f>
        <v>0</v>
      </c>
      <c r="H1151" s="104"/>
      <c r="I1151" s="99">
        <f t="shared" si="118"/>
        <v>0</v>
      </c>
      <c r="J1151" s="104">
        <f>J1152</f>
        <v>2000</v>
      </c>
      <c r="K1151" s="96">
        <f t="shared" si="115"/>
        <v>2000</v>
      </c>
      <c r="L1151" s="106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ht="19.5" customHeight="1">
      <c r="A1152" s="124" t="s">
        <v>845</v>
      </c>
      <c r="B1152" s="78">
        <v>841</v>
      </c>
      <c r="C1152" s="67" t="s">
        <v>109</v>
      </c>
      <c r="D1152" s="67" t="s">
        <v>27</v>
      </c>
      <c r="E1152" s="67" t="s">
        <v>36</v>
      </c>
      <c r="F1152" s="67"/>
      <c r="G1152" s="96">
        <f>SUM(G1153)</f>
        <v>0</v>
      </c>
      <c r="H1152" s="104"/>
      <c r="I1152" s="99">
        <f t="shared" si="118"/>
        <v>0</v>
      </c>
      <c r="J1152" s="104">
        <f>J1153</f>
        <v>2000</v>
      </c>
      <c r="K1152" s="96">
        <f t="shared" si="115"/>
        <v>2000</v>
      </c>
      <c r="L1152" s="106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ht="16.5">
      <c r="A1153" s="135" t="s">
        <v>492</v>
      </c>
      <c r="B1153" s="78">
        <v>841</v>
      </c>
      <c r="C1153" s="67" t="s">
        <v>109</v>
      </c>
      <c r="D1153" s="67" t="s">
        <v>27</v>
      </c>
      <c r="E1153" s="67" t="s">
        <v>36</v>
      </c>
      <c r="F1153" s="67" t="s">
        <v>49</v>
      </c>
      <c r="G1153" s="96"/>
      <c r="H1153" s="104"/>
      <c r="I1153" s="99">
        <f t="shared" si="118"/>
        <v>0</v>
      </c>
      <c r="J1153" s="104">
        <v>2000</v>
      </c>
      <c r="K1153" s="96">
        <f t="shared" si="115"/>
        <v>2000</v>
      </c>
      <c r="L1153" s="106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ht="18" customHeight="1" hidden="1">
      <c r="A1154" s="135" t="s">
        <v>8</v>
      </c>
      <c r="B1154" s="78">
        <v>841</v>
      </c>
      <c r="C1154" s="67" t="s">
        <v>109</v>
      </c>
      <c r="D1154" s="67" t="s">
        <v>27</v>
      </c>
      <c r="E1154" s="67" t="s">
        <v>43</v>
      </c>
      <c r="F1154" s="67"/>
      <c r="G1154" s="96">
        <f>SUM(G1155)</f>
        <v>0</v>
      </c>
      <c r="H1154" s="104"/>
      <c r="I1154" s="99">
        <f t="shared" si="118"/>
        <v>0</v>
      </c>
      <c r="J1154" s="104"/>
      <c r="K1154" s="96">
        <f t="shared" si="115"/>
        <v>0</v>
      </c>
      <c r="L1154" s="106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ht="16.5" hidden="1">
      <c r="A1155" s="135" t="s">
        <v>492</v>
      </c>
      <c r="B1155" s="78">
        <v>841</v>
      </c>
      <c r="C1155" s="67" t="s">
        <v>109</v>
      </c>
      <c r="D1155" s="67" t="s">
        <v>27</v>
      </c>
      <c r="E1155" s="67" t="s">
        <v>43</v>
      </c>
      <c r="F1155" s="67" t="s">
        <v>49</v>
      </c>
      <c r="G1155" s="96"/>
      <c r="H1155" s="104"/>
      <c r="I1155" s="99">
        <f t="shared" si="118"/>
        <v>0</v>
      </c>
      <c r="J1155" s="104"/>
      <c r="K1155" s="96">
        <f t="shared" si="115"/>
        <v>0</v>
      </c>
      <c r="L1155" s="106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ht="19.5" customHeight="1">
      <c r="A1156" s="136" t="s">
        <v>294</v>
      </c>
      <c r="B1156" s="78">
        <v>841</v>
      </c>
      <c r="C1156" s="79" t="s">
        <v>106</v>
      </c>
      <c r="D1156" s="67"/>
      <c r="E1156" s="67"/>
      <c r="F1156" s="67"/>
      <c r="G1156" s="96">
        <f>SUM(G1157)</f>
        <v>0</v>
      </c>
      <c r="H1156" s="104"/>
      <c r="I1156" s="99">
        <f t="shared" si="118"/>
        <v>0</v>
      </c>
      <c r="J1156" s="104">
        <f>J1157</f>
        <v>1000</v>
      </c>
      <c r="K1156" s="96">
        <f t="shared" si="115"/>
        <v>1000</v>
      </c>
      <c r="L1156" s="106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ht="19.5" customHeight="1">
      <c r="A1157" s="135" t="s">
        <v>608</v>
      </c>
      <c r="B1157" s="78">
        <v>841</v>
      </c>
      <c r="C1157" s="79" t="s">
        <v>106</v>
      </c>
      <c r="D1157" s="67" t="s">
        <v>106</v>
      </c>
      <c r="E1157" s="67"/>
      <c r="F1157" s="67"/>
      <c r="G1157" s="96">
        <f>G1158</f>
        <v>0</v>
      </c>
      <c r="H1157" s="104"/>
      <c r="I1157" s="99">
        <f t="shared" si="118"/>
        <v>0</v>
      </c>
      <c r="J1157" s="104">
        <f>J1158</f>
        <v>1000</v>
      </c>
      <c r="K1157" s="96">
        <f t="shared" si="115"/>
        <v>1000</v>
      </c>
      <c r="L1157" s="106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ht="35.25" customHeight="1">
      <c r="A1158" s="124" t="s">
        <v>268</v>
      </c>
      <c r="B1158" s="78">
        <v>841</v>
      </c>
      <c r="C1158" s="79" t="s">
        <v>106</v>
      </c>
      <c r="D1158" s="67" t="s">
        <v>106</v>
      </c>
      <c r="E1158" s="67" t="s">
        <v>483</v>
      </c>
      <c r="F1158" s="67"/>
      <c r="G1158" s="96">
        <f>SUM(G1159)</f>
        <v>0</v>
      </c>
      <c r="H1158" s="104"/>
      <c r="I1158" s="99">
        <f t="shared" si="118"/>
        <v>0</v>
      </c>
      <c r="J1158" s="104">
        <f>J1159</f>
        <v>1000</v>
      </c>
      <c r="K1158" s="96">
        <f t="shared" si="115"/>
        <v>1000</v>
      </c>
      <c r="L1158" s="106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47" customFormat="1" ht="18.75" customHeight="1">
      <c r="A1159" s="124" t="s">
        <v>844</v>
      </c>
      <c r="B1159" s="78">
        <v>841</v>
      </c>
      <c r="C1159" s="67" t="s">
        <v>106</v>
      </c>
      <c r="D1159" s="67" t="s">
        <v>106</v>
      </c>
      <c r="E1159" s="67" t="s">
        <v>33</v>
      </c>
      <c r="F1159" s="67"/>
      <c r="G1159" s="96">
        <f>G1160+G1162</f>
        <v>0</v>
      </c>
      <c r="H1159" s="104"/>
      <c r="I1159" s="99">
        <f t="shared" si="118"/>
        <v>0</v>
      </c>
      <c r="J1159" s="104">
        <f>J1162</f>
        <v>1000</v>
      </c>
      <c r="K1159" s="96">
        <f t="shared" si="115"/>
        <v>1000</v>
      </c>
      <c r="L1159" s="106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49" customFormat="1" ht="18.75" customHeight="1" hidden="1">
      <c r="A1160" s="124" t="s">
        <v>845</v>
      </c>
      <c r="B1160" s="78">
        <v>841</v>
      </c>
      <c r="C1160" s="79" t="s">
        <v>106</v>
      </c>
      <c r="D1160" s="67" t="s">
        <v>106</v>
      </c>
      <c r="E1160" s="67" t="s">
        <v>36</v>
      </c>
      <c r="F1160" s="67"/>
      <c r="G1160" s="96">
        <f>G1161</f>
        <v>0</v>
      </c>
      <c r="H1160" s="104"/>
      <c r="I1160" s="99">
        <f t="shared" si="118"/>
        <v>0</v>
      </c>
      <c r="J1160" s="104"/>
      <c r="K1160" s="96">
        <f t="shared" si="115"/>
        <v>0</v>
      </c>
      <c r="L1160" s="106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49" customFormat="1" ht="18.75" customHeight="1" hidden="1">
      <c r="A1161" s="135" t="s">
        <v>492</v>
      </c>
      <c r="B1161" s="78">
        <v>841</v>
      </c>
      <c r="C1161" s="79" t="s">
        <v>106</v>
      </c>
      <c r="D1161" s="67" t="s">
        <v>106</v>
      </c>
      <c r="E1161" s="67" t="s">
        <v>36</v>
      </c>
      <c r="F1161" s="67" t="s">
        <v>49</v>
      </c>
      <c r="G1161" s="96"/>
      <c r="H1161" s="104"/>
      <c r="I1161" s="99">
        <f t="shared" si="118"/>
        <v>0</v>
      </c>
      <c r="J1161" s="104"/>
      <c r="K1161" s="96">
        <f t="shared" si="115"/>
        <v>0</v>
      </c>
      <c r="L1161" s="106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48" customFormat="1" ht="16.5" customHeight="1">
      <c r="A1162" s="124" t="s">
        <v>814</v>
      </c>
      <c r="B1162" s="78">
        <v>841</v>
      </c>
      <c r="C1162" s="79" t="s">
        <v>106</v>
      </c>
      <c r="D1162" s="67" t="s">
        <v>106</v>
      </c>
      <c r="E1162" s="67" t="s">
        <v>813</v>
      </c>
      <c r="F1162" s="67"/>
      <c r="G1162" s="96">
        <f>SUM(G1163)</f>
        <v>0</v>
      </c>
      <c r="H1162" s="104"/>
      <c r="I1162" s="99">
        <f t="shared" si="118"/>
        <v>0</v>
      </c>
      <c r="J1162" s="104">
        <f>J1163</f>
        <v>1000</v>
      </c>
      <c r="K1162" s="96">
        <f t="shared" si="115"/>
        <v>1000</v>
      </c>
      <c r="L1162" s="106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ht="16.5">
      <c r="A1163" s="135" t="s">
        <v>492</v>
      </c>
      <c r="B1163" s="78">
        <v>841</v>
      </c>
      <c r="C1163" s="79" t="s">
        <v>106</v>
      </c>
      <c r="D1163" s="67" t="s">
        <v>106</v>
      </c>
      <c r="E1163" s="67" t="s">
        <v>813</v>
      </c>
      <c r="F1163" s="67" t="s">
        <v>49</v>
      </c>
      <c r="G1163" s="96"/>
      <c r="H1163" s="104"/>
      <c r="I1163" s="99">
        <f t="shared" si="118"/>
        <v>0</v>
      </c>
      <c r="J1163" s="104">
        <v>1000</v>
      </c>
      <c r="K1163" s="96">
        <f t="shared" si="115"/>
        <v>1000</v>
      </c>
      <c r="L1163" s="106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ht="16.5">
      <c r="A1164" s="127" t="s">
        <v>336</v>
      </c>
      <c r="B1164" s="78">
        <v>841</v>
      </c>
      <c r="C1164" s="79" t="s">
        <v>111</v>
      </c>
      <c r="D1164" s="67"/>
      <c r="E1164" s="67"/>
      <c r="F1164" s="67"/>
      <c r="G1164" s="96"/>
      <c r="H1164" s="104">
        <f aca="true" t="shared" si="119" ref="H1164:J1168">H1165</f>
        <v>60</v>
      </c>
      <c r="I1164" s="99">
        <f t="shared" si="118"/>
        <v>60</v>
      </c>
      <c r="J1164" s="104">
        <f t="shared" si="119"/>
        <v>0</v>
      </c>
      <c r="K1164" s="96">
        <f t="shared" si="115"/>
        <v>60</v>
      </c>
      <c r="L1164" s="106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ht="16.5">
      <c r="A1165" s="123" t="s">
        <v>825</v>
      </c>
      <c r="B1165" s="78">
        <v>841</v>
      </c>
      <c r="C1165" s="79" t="s">
        <v>111</v>
      </c>
      <c r="D1165" s="67" t="s">
        <v>108</v>
      </c>
      <c r="E1165" s="67"/>
      <c r="F1165" s="67"/>
      <c r="G1165" s="96"/>
      <c r="H1165" s="104">
        <f t="shared" si="119"/>
        <v>60</v>
      </c>
      <c r="I1165" s="99">
        <f t="shared" si="118"/>
        <v>60</v>
      </c>
      <c r="J1165" s="104">
        <f t="shared" si="119"/>
        <v>0</v>
      </c>
      <c r="K1165" s="96">
        <f t="shared" si="115"/>
        <v>60</v>
      </c>
      <c r="L1165" s="106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ht="33">
      <c r="A1166" s="124" t="s">
        <v>268</v>
      </c>
      <c r="B1166" s="78">
        <v>841</v>
      </c>
      <c r="C1166" s="79" t="s">
        <v>111</v>
      </c>
      <c r="D1166" s="67" t="s">
        <v>108</v>
      </c>
      <c r="E1166" s="67" t="s">
        <v>483</v>
      </c>
      <c r="F1166" s="67"/>
      <c r="G1166" s="96"/>
      <c r="H1166" s="104">
        <f t="shared" si="119"/>
        <v>60</v>
      </c>
      <c r="I1166" s="99">
        <f t="shared" si="118"/>
        <v>60</v>
      </c>
      <c r="J1166" s="104">
        <f t="shared" si="119"/>
        <v>0</v>
      </c>
      <c r="K1166" s="96">
        <f t="shared" si="115"/>
        <v>60</v>
      </c>
      <c r="L1166" s="106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ht="16.5">
      <c r="A1167" s="124" t="s">
        <v>844</v>
      </c>
      <c r="B1167" s="78">
        <v>841</v>
      </c>
      <c r="C1167" s="79" t="s">
        <v>827</v>
      </c>
      <c r="D1167" s="67" t="s">
        <v>108</v>
      </c>
      <c r="E1167" s="67" t="s">
        <v>33</v>
      </c>
      <c r="F1167" s="67"/>
      <c r="G1167" s="96"/>
      <c r="H1167" s="104">
        <f t="shared" si="119"/>
        <v>60</v>
      </c>
      <c r="I1167" s="99">
        <f t="shared" si="118"/>
        <v>60</v>
      </c>
      <c r="J1167" s="104">
        <f t="shared" si="119"/>
        <v>0</v>
      </c>
      <c r="K1167" s="96">
        <f t="shared" si="115"/>
        <v>60</v>
      </c>
      <c r="L1167" s="106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ht="31.5" customHeight="1">
      <c r="A1168" s="135" t="s">
        <v>830</v>
      </c>
      <c r="B1168" s="78">
        <v>841</v>
      </c>
      <c r="C1168" s="79" t="s">
        <v>111</v>
      </c>
      <c r="D1168" s="67" t="s">
        <v>108</v>
      </c>
      <c r="E1168" s="67" t="s">
        <v>320</v>
      </c>
      <c r="F1168" s="67"/>
      <c r="G1168" s="96"/>
      <c r="H1168" s="104">
        <f t="shared" si="119"/>
        <v>60</v>
      </c>
      <c r="I1168" s="99">
        <f t="shared" si="118"/>
        <v>60</v>
      </c>
      <c r="J1168" s="104">
        <f t="shared" si="119"/>
        <v>0</v>
      </c>
      <c r="K1168" s="96">
        <f t="shared" si="115"/>
        <v>60</v>
      </c>
      <c r="L1168" s="106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ht="16.5">
      <c r="A1169" s="135" t="s">
        <v>763</v>
      </c>
      <c r="B1169" s="78">
        <v>841</v>
      </c>
      <c r="C1169" s="79" t="s">
        <v>111</v>
      </c>
      <c r="D1169" s="67" t="s">
        <v>108</v>
      </c>
      <c r="E1169" s="67" t="s">
        <v>320</v>
      </c>
      <c r="F1169" s="67" t="s">
        <v>49</v>
      </c>
      <c r="G1169" s="96"/>
      <c r="H1169" s="104">
        <v>60</v>
      </c>
      <c r="I1169" s="99">
        <f t="shared" si="118"/>
        <v>60</v>
      </c>
      <c r="J1169" s="104"/>
      <c r="K1169" s="96">
        <f t="shared" si="115"/>
        <v>60</v>
      </c>
      <c r="L1169" s="106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ht="18" customHeight="1">
      <c r="A1170" s="137" t="s">
        <v>301</v>
      </c>
      <c r="B1170" s="78">
        <v>188</v>
      </c>
      <c r="C1170" s="67"/>
      <c r="D1170" s="67"/>
      <c r="E1170" s="80"/>
      <c r="F1170" s="80"/>
      <c r="G1170" s="96">
        <f aca="true" t="shared" si="120" ref="G1170:J1172">SUM(G1171)</f>
        <v>23212.2</v>
      </c>
      <c r="H1170" s="99">
        <f t="shared" si="120"/>
        <v>0</v>
      </c>
      <c r="I1170" s="99">
        <f t="shared" si="118"/>
        <v>23212.2</v>
      </c>
      <c r="J1170" s="99">
        <f t="shared" si="120"/>
        <v>-489.50000000000045</v>
      </c>
      <c r="K1170" s="96">
        <f aca="true" t="shared" si="121" ref="K1170:K1182">I1170+J1170</f>
        <v>22722.7</v>
      </c>
      <c r="L1170" s="106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ht="18" customHeight="1">
      <c r="A1171" s="136" t="s">
        <v>398</v>
      </c>
      <c r="B1171" s="78">
        <v>188</v>
      </c>
      <c r="C1171" s="67" t="s">
        <v>26</v>
      </c>
      <c r="D1171" s="67"/>
      <c r="E1171" s="80"/>
      <c r="F1171" s="80"/>
      <c r="G1171" s="96">
        <f t="shared" si="120"/>
        <v>23212.2</v>
      </c>
      <c r="H1171" s="99">
        <f t="shared" si="120"/>
        <v>0</v>
      </c>
      <c r="I1171" s="99">
        <f t="shared" si="118"/>
        <v>23212.2</v>
      </c>
      <c r="J1171" s="99">
        <f t="shared" si="120"/>
        <v>-489.50000000000045</v>
      </c>
      <c r="K1171" s="96">
        <f t="shared" si="121"/>
        <v>22722.7</v>
      </c>
      <c r="L1171" s="106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ht="18.75" customHeight="1">
      <c r="A1172" s="136" t="s">
        <v>722</v>
      </c>
      <c r="B1172" s="78">
        <v>188</v>
      </c>
      <c r="C1172" s="67" t="s">
        <v>26</v>
      </c>
      <c r="D1172" s="67" t="s">
        <v>25</v>
      </c>
      <c r="E1172" s="80"/>
      <c r="F1172" s="80"/>
      <c r="G1172" s="96">
        <f t="shared" si="120"/>
        <v>23212.2</v>
      </c>
      <c r="H1172" s="99">
        <f t="shared" si="120"/>
        <v>0</v>
      </c>
      <c r="I1172" s="99">
        <f t="shared" si="118"/>
        <v>23212.2</v>
      </c>
      <c r="J1172" s="99">
        <f t="shared" si="120"/>
        <v>-489.50000000000045</v>
      </c>
      <c r="K1172" s="96">
        <f t="shared" si="121"/>
        <v>22722.7</v>
      </c>
      <c r="L1172" s="106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ht="19.5" customHeight="1">
      <c r="A1173" s="124" t="s">
        <v>191</v>
      </c>
      <c r="B1173" s="78">
        <v>188</v>
      </c>
      <c r="C1173" s="67" t="s">
        <v>26</v>
      </c>
      <c r="D1173" s="67" t="s">
        <v>25</v>
      </c>
      <c r="E1173" s="67" t="s">
        <v>272</v>
      </c>
      <c r="F1173" s="80"/>
      <c r="G1173" s="96">
        <f>SUM(G1176,G1178,G1180,G1182)</f>
        <v>23212.2</v>
      </c>
      <c r="H1173" s="99">
        <f>SUM(H1176,H1178,H1180,H1182)</f>
        <v>0</v>
      </c>
      <c r="I1173" s="99">
        <f t="shared" si="118"/>
        <v>23212.2</v>
      </c>
      <c r="J1173" s="99">
        <f>SUM(J1176,J1178,J1180,J1182)</f>
        <v>-489.50000000000045</v>
      </c>
      <c r="K1173" s="96">
        <f t="shared" si="121"/>
        <v>22722.7</v>
      </c>
      <c r="L1173" s="106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ht="51" customHeight="1" hidden="1">
      <c r="A1174" s="126" t="s">
        <v>103</v>
      </c>
      <c r="B1174" s="78">
        <v>188</v>
      </c>
      <c r="C1174" s="67" t="s">
        <v>26</v>
      </c>
      <c r="D1174" s="67" t="s">
        <v>25</v>
      </c>
      <c r="E1174" s="67" t="s">
        <v>273</v>
      </c>
      <c r="F1174" s="67"/>
      <c r="G1174" s="96">
        <f>G1175</f>
        <v>0</v>
      </c>
      <c r="H1174" s="99">
        <f>H1175</f>
        <v>0</v>
      </c>
      <c r="I1174" s="99">
        <f t="shared" si="118"/>
        <v>0</v>
      </c>
      <c r="J1174" s="99">
        <f>J1175</f>
        <v>0</v>
      </c>
      <c r="K1174" s="96">
        <f t="shared" si="121"/>
        <v>0</v>
      </c>
      <c r="L1174" s="106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ht="33" hidden="1">
      <c r="A1175" s="137" t="s">
        <v>47</v>
      </c>
      <c r="B1175" s="78">
        <v>188</v>
      </c>
      <c r="C1175" s="67" t="s">
        <v>26</v>
      </c>
      <c r="D1175" s="67" t="s">
        <v>25</v>
      </c>
      <c r="E1175" s="67" t="s">
        <v>273</v>
      </c>
      <c r="F1175" s="67" t="s">
        <v>623</v>
      </c>
      <c r="G1175" s="96"/>
      <c r="H1175" s="99"/>
      <c r="I1175" s="99">
        <f t="shared" si="118"/>
        <v>0</v>
      </c>
      <c r="J1175" s="99"/>
      <c r="K1175" s="96">
        <f t="shared" si="121"/>
        <v>0</v>
      </c>
      <c r="L1175" s="106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ht="17.25" customHeight="1">
      <c r="A1176" s="126" t="s">
        <v>48</v>
      </c>
      <c r="B1176" s="78">
        <v>188</v>
      </c>
      <c r="C1176" s="67" t="s">
        <v>26</v>
      </c>
      <c r="D1176" s="67" t="s">
        <v>25</v>
      </c>
      <c r="E1176" s="67" t="s">
        <v>627</v>
      </c>
      <c r="F1176" s="67"/>
      <c r="G1176" s="96">
        <f>SUM(G1177)</f>
        <v>11919.2</v>
      </c>
      <c r="H1176" s="99">
        <f>SUM(H1177)</f>
        <v>0</v>
      </c>
      <c r="I1176" s="99">
        <f t="shared" si="118"/>
        <v>11919.2</v>
      </c>
      <c r="J1176" s="99">
        <f>SUM(J1177)</f>
        <v>-2742.2000000000003</v>
      </c>
      <c r="K1176" s="96">
        <f t="shared" si="121"/>
        <v>9177</v>
      </c>
      <c r="L1176" s="106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ht="34.5" customHeight="1">
      <c r="A1177" s="137" t="s">
        <v>47</v>
      </c>
      <c r="B1177" s="78">
        <v>188</v>
      </c>
      <c r="C1177" s="67" t="s">
        <v>26</v>
      </c>
      <c r="D1177" s="67" t="s">
        <v>25</v>
      </c>
      <c r="E1177" s="67" t="s">
        <v>627</v>
      </c>
      <c r="F1177" s="67" t="s">
        <v>623</v>
      </c>
      <c r="G1177" s="96">
        <v>11919.2</v>
      </c>
      <c r="H1177" s="104"/>
      <c r="I1177" s="99">
        <f t="shared" si="118"/>
        <v>11919.2</v>
      </c>
      <c r="J1177" s="104">
        <f>1015.7-4078.8+320.9</f>
        <v>-2742.2000000000003</v>
      </c>
      <c r="K1177" s="96">
        <f t="shared" si="121"/>
        <v>9177</v>
      </c>
      <c r="L1177" s="106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ht="31.5" customHeight="1">
      <c r="A1178" s="136" t="s">
        <v>100</v>
      </c>
      <c r="B1178" s="78">
        <v>188</v>
      </c>
      <c r="C1178" s="67" t="s">
        <v>26</v>
      </c>
      <c r="D1178" s="67" t="s">
        <v>25</v>
      </c>
      <c r="E1178" s="67" t="s">
        <v>628</v>
      </c>
      <c r="F1178" s="67"/>
      <c r="G1178" s="96">
        <f>SUM(G1179)</f>
        <v>10537</v>
      </c>
      <c r="H1178" s="99">
        <f>SUM(H1179)</f>
        <v>0</v>
      </c>
      <c r="I1178" s="99">
        <f t="shared" si="118"/>
        <v>10537</v>
      </c>
      <c r="J1178" s="99">
        <f>SUM(J1179)</f>
        <v>2252.7</v>
      </c>
      <c r="K1178" s="96">
        <f t="shared" si="121"/>
        <v>12789.7</v>
      </c>
      <c r="L1178" s="106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ht="32.25" customHeight="1">
      <c r="A1179" s="137" t="s">
        <v>47</v>
      </c>
      <c r="B1179" s="78">
        <v>188</v>
      </c>
      <c r="C1179" s="67" t="s">
        <v>26</v>
      </c>
      <c r="D1179" s="67" t="s">
        <v>25</v>
      </c>
      <c r="E1179" s="67" t="s">
        <v>628</v>
      </c>
      <c r="F1179" s="67" t="s">
        <v>623</v>
      </c>
      <c r="G1179" s="96">
        <v>10537</v>
      </c>
      <c r="H1179" s="104"/>
      <c r="I1179" s="99">
        <f t="shared" si="118"/>
        <v>10537</v>
      </c>
      <c r="J1179" s="104">
        <f>822.6+1112.5-39.7+357.3</f>
        <v>2252.7</v>
      </c>
      <c r="K1179" s="96">
        <f t="shared" si="121"/>
        <v>12789.7</v>
      </c>
      <c r="L1179" s="106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ht="16.5">
      <c r="A1180" s="135" t="s">
        <v>101</v>
      </c>
      <c r="B1180" s="78">
        <v>188</v>
      </c>
      <c r="C1180" s="67" t="s">
        <v>26</v>
      </c>
      <c r="D1180" s="67" t="s">
        <v>25</v>
      </c>
      <c r="E1180" s="67" t="s">
        <v>629</v>
      </c>
      <c r="F1180" s="67"/>
      <c r="G1180" s="96">
        <f>SUM(G1181)</f>
        <v>97.1</v>
      </c>
      <c r="H1180" s="99">
        <f>SUM(H1181)</f>
        <v>0</v>
      </c>
      <c r="I1180" s="99">
        <f t="shared" si="118"/>
        <v>97.1</v>
      </c>
      <c r="J1180" s="99">
        <f>SUM(J1181)</f>
        <v>0</v>
      </c>
      <c r="K1180" s="96">
        <f t="shared" si="121"/>
        <v>97.1</v>
      </c>
      <c r="L1180" s="106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170" s="47" customFormat="1" ht="33">
      <c r="A1181" s="137" t="s">
        <v>47</v>
      </c>
      <c r="B1181" s="78">
        <v>188</v>
      </c>
      <c r="C1181" s="67" t="s">
        <v>26</v>
      </c>
      <c r="D1181" s="67" t="s">
        <v>25</v>
      </c>
      <c r="E1181" s="67" t="s">
        <v>629</v>
      </c>
      <c r="F1181" s="67" t="s">
        <v>623</v>
      </c>
      <c r="G1181" s="96">
        <v>97.1</v>
      </c>
      <c r="H1181" s="104"/>
      <c r="I1181" s="99">
        <f t="shared" si="118"/>
        <v>97.1</v>
      </c>
      <c r="J1181" s="104"/>
      <c r="K1181" s="96">
        <f t="shared" si="121"/>
        <v>97.1</v>
      </c>
      <c r="L1181" s="106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8"/>
      <c r="BK1181" s="38"/>
      <c r="BL1181" s="38"/>
      <c r="BM1181" s="38"/>
      <c r="BN1181" s="38"/>
      <c r="BO1181" s="38"/>
      <c r="BP1181" s="38"/>
      <c r="BQ1181" s="38"/>
      <c r="BR1181" s="38"/>
      <c r="BS1181" s="38"/>
      <c r="BT1181" s="38"/>
      <c r="BU1181" s="38"/>
      <c r="BV1181" s="38"/>
      <c r="BW1181" s="38"/>
      <c r="BX1181" s="38"/>
      <c r="BY1181" s="38"/>
      <c r="BZ1181" s="38"/>
      <c r="CA1181" s="38"/>
      <c r="CB1181" s="38"/>
      <c r="CC1181" s="38"/>
      <c r="CD1181" s="38"/>
      <c r="CE1181" s="38"/>
      <c r="CF1181" s="38"/>
      <c r="CG1181" s="38"/>
      <c r="CH1181" s="38"/>
      <c r="CI1181" s="38"/>
      <c r="CJ1181" s="38"/>
      <c r="CK1181" s="38"/>
      <c r="CL1181" s="38"/>
      <c r="CM1181" s="38"/>
      <c r="CN1181" s="38"/>
      <c r="CO1181" s="38"/>
      <c r="CP1181" s="38"/>
      <c r="CQ1181" s="38"/>
      <c r="CR1181" s="38"/>
      <c r="CS1181" s="38"/>
      <c r="CT1181" s="38"/>
      <c r="CU1181" s="38"/>
      <c r="CV1181" s="38"/>
      <c r="CW1181" s="38"/>
      <c r="CX1181" s="38"/>
      <c r="CY1181" s="38"/>
      <c r="CZ1181" s="38"/>
      <c r="DA1181" s="38"/>
      <c r="DB1181" s="38"/>
      <c r="DC1181" s="38"/>
      <c r="DD1181" s="38"/>
      <c r="DE1181" s="38"/>
      <c r="DF1181" s="38"/>
      <c r="DG1181" s="38"/>
      <c r="DH1181" s="38"/>
      <c r="DI1181" s="38"/>
      <c r="DJ1181" s="38"/>
      <c r="DK1181" s="38"/>
      <c r="DL1181" s="38"/>
      <c r="DM1181" s="38"/>
      <c r="DN1181" s="38"/>
      <c r="DO1181" s="38"/>
      <c r="DP1181" s="38"/>
      <c r="DQ1181" s="38"/>
      <c r="DR1181" s="38"/>
      <c r="DS1181" s="38"/>
      <c r="DT1181" s="38"/>
      <c r="DU1181" s="38"/>
      <c r="DV1181" s="38"/>
      <c r="DW1181" s="38"/>
      <c r="DX1181" s="38"/>
      <c r="DY1181" s="38"/>
      <c r="DZ1181" s="38"/>
      <c r="EA1181" s="38"/>
      <c r="EB1181" s="38"/>
      <c r="EC1181" s="38"/>
      <c r="ED1181" s="38"/>
      <c r="EE1181" s="38"/>
      <c r="EF1181" s="38"/>
      <c r="EG1181" s="38"/>
      <c r="EH1181" s="38"/>
      <c r="EI1181" s="38"/>
      <c r="EJ1181" s="38"/>
      <c r="EK1181" s="38"/>
      <c r="EL1181" s="38"/>
      <c r="EM1181" s="38"/>
      <c r="EN1181" s="38"/>
      <c r="EO1181" s="38"/>
      <c r="EP1181" s="38"/>
      <c r="EQ1181" s="38"/>
      <c r="ER1181" s="38"/>
      <c r="ES1181" s="38"/>
      <c r="ET1181" s="38"/>
      <c r="EU1181" s="38"/>
      <c r="EV1181" s="38"/>
      <c r="EW1181" s="38"/>
      <c r="EX1181" s="38"/>
      <c r="EY1181" s="38"/>
      <c r="EZ1181" s="38"/>
      <c r="FA1181" s="38"/>
      <c r="FB1181" s="38"/>
      <c r="FC1181" s="38"/>
      <c r="FD1181" s="38"/>
      <c r="FE1181" s="38"/>
      <c r="FF1181" s="38"/>
      <c r="FG1181" s="38"/>
      <c r="FH1181" s="38"/>
      <c r="FI1181" s="38"/>
      <c r="FJ1181" s="38"/>
      <c r="FK1181" s="38"/>
      <c r="FL1181" s="38"/>
      <c r="FM1181" s="38"/>
      <c r="FN1181" s="38"/>
    </row>
    <row r="1182" spans="1:170" s="48" customFormat="1" ht="33" customHeight="1">
      <c r="A1182" s="136" t="s">
        <v>102</v>
      </c>
      <c r="B1182" s="78">
        <v>188</v>
      </c>
      <c r="C1182" s="67" t="s">
        <v>26</v>
      </c>
      <c r="D1182" s="67" t="s">
        <v>25</v>
      </c>
      <c r="E1182" s="67" t="s">
        <v>630</v>
      </c>
      <c r="F1182" s="67"/>
      <c r="G1182" s="96">
        <f>SUM(G1183)</f>
        <v>658.9</v>
      </c>
      <c r="H1182" s="99">
        <f>SUM(H1183)</f>
        <v>0</v>
      </c>
      <c r="I1182" s="99">
        <f t="shared" si="118"/>
        <v>658.9</v>
      </c>
      <c r="J1182" s="99">
        <f>SUM(J1183)</f>
        <v>0</v>
      </c>
      <c r="K1182" s="96">
        <f t="shared" si="121"/>
        <v>658.9</v>
      </c>
      <c r="L1182" s="106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  <c r="BE1182" s="38"/>
      <c r="BF1182" s="38"/>
      <c r="BG1182" s="38"/>
      <c r="BH1182" s="38"/>
      <c r="BI1182" s="38"/>
      <c r="BJ1182" s="38"/>
      <c r="BK1182" s="38"/>
      <c r="BL1182" s="38"/>
      <c r="BM1182" s="38"/>
      <c r="BN1182" s="38"/>
      <c r="BO1182" s="38"/>
      <c r="BP1182" s="38"/>
      <c r="BQ1182" s="38"/>
      <c r="BR1182" s="38"/>
      <c r="BS1182" s="38"/>
      <c r="BT1182" s="38"/>
      <c r="BU1182" s="38"/>
      <c r="BV1182" s="38"/>
      <c r="BW1182" s="38"/>
      <c r="BX1182" s="38"/>
      <c r="BY1182" s="38"/>
      <c r="BZ1182" s="38"/>
      <c r="CA1182" s="38"/>
      <c r="CB1182" s="38"/>
      <c r="CC1182" s="38"/>
      <c r="CD1182" s="38"/>
      <c r="CE1182" s="38"/>
      <c r="CF1182" s="38"/>
      <c r="CG1182" s="38"/>
      <c r="CH1182" s="38"/>
      <c r="CI1182" s="38"/>
      <c r="CJ1182" s="38"/>
      <c r="CK1182" s="38"/>
      <c r="CL1182" s="38"/>
      <c r="CM1182" s="38"/>
      <c r="CN1182" s="38"/>
      <c r="CO1182" s="38"/>
      <c r="CP1182" s="38"/>
      <c r="CQ1182" s="38"/>
      <c r="CR1182" s="38"/>
      <c r="CS1182" s="38"/>
      <c r="CT1182" s="38"/>
      <c r="CU1182" s="38"/>
      <c r="CV1182" s="38"/>
      <c r="CW1182" s="38"/>
      <c r="CX1182" s="38"/>
      <c r="CY1182" s="38"/>
      <c r="CZ1182" s="38"/>
      <c r="DA1182" s="38"/>
      <c r="DB1182" s="38"/>
      <c r="DC1182" s="38"/>
      <c r="DD1182" s="38"/>
      <c r="DE1182" s="38"/>
      <c r="DF1182" s="38"/>
      <c r="DG1182" s="38"/>
      <c r="DH1182" s="38"/>
      <c r="DI1182" s="38"/>
      <c r="DJ1182" s="38"/>
      <c r="DK1182" s="38"/>
      <c r="DL1182" s="38"/>
      <c r="DM1182" s="38"/>
      <c r="DN1182" s="38"/>
      <c r="DO1182" s="38"/>
      <c r="DP1182" s="38"/>
      <c r="DQ1182" s="38"/>
      <c r="DR1182" s="38"/>
      <c r="DS1182" s="38"/>
      <c r="DT1182" s="38"/>
      <c r="DU1182" s="38"/>
      <c r="DV1182" s="38"/>
      <c r="DW1182" s="38"/>
      <c r="DX1182" s="38"/>
      <c r="DY1182" s="38"/>
      <c r="DZ1182" s="38"/>
      <c r="EA1182" s="38"/>
      <c r="EB1182" s="38"/>
      <c r="EC1182" s="38"/>
      <c r="ED1182" s="38"/>
      <c r="EE1182" s="38"/>
      <c r="EF1182" s="38"/>
      <c r="EG1182" s="38"/>
      <c r="EH1182" s="38"/>
      <c r="EI1182" s="38"/>
      <c r="EJ1182" s="38"/>
      <c r="EK1182" s="38"/>
      <c r="EL1182" s="38"/>
      <c r="EM1182" s="38"/>
      <c r="EN1182" s="38"/>
      <c r="EO1182" s="38"/>
      <c r="EP1182" s="38"/>
      <c r="EQ1182" s="38"/>
      <c r="ER1182" s="38"/>
      <c r="ES1182" s="38"/>
      <c r="ET1182" s="38"/>
      <c r="EU1182" s="38"/>
      <c r="EV1182" s="38"/>
      <c r="EW1182" s="38"/>
      <c r="EX1182" s="38"/>
      <c r="EY1182" s="38"/>
      <c r="EZ1182" s="38"/>
      <c r="FA1182" s="38"/>
      <c r="FB1182" s="38"/>
      <c r="FC1182" s="38"/>
      <c r="FD1182" s="38"/>
      <c r="FE1182" s="38"/>
      <c r="FF1182" s="38"/>
      <c r="FG1182" s="38"/>
      <c r="FH1182" s="38"/>
      <c r="FI1182" s="38"/>
      <c r="FJ1182" s="38"/>
      <c r="FK1182" s="38"/>
      <c r="FL1182" s="38"/>
      <c r="FM1182" s="38"/>
      <c r="FN1182" s="38"/>
    </row>
    <row r="1183" spans="1:170" s="52" customFormat="1" ht="16.5">
      <c r="A1183" s="146" t="s">
        <v>656</v>
      </c>
      <c r="B1183" s="83">
        <v>188</v>
      </c>
      <c r="C1183" s="84" t="s">
        <v>26</v>
      </c>
      <c r="D1183" s="84" t="s">
        <v>25</v>
      </c>
      <c r="E1183" s="84" t="s">
        <v>630</v>
      </c>
      <c r="F1183" s="84" t="s">
        <v>117</v>
      </c>
      <c r="G1183" s="99">
        <v>658.9</v>
      </c>
      <c r="H1183" s="104"/>
      <c r="I1183" s="99">
        <f t="shared" si="118"/>
        <v>658.9</v>
      </c>
      <c r="J1183" s="104"/>
      <c r="K1183" s="96">
        <f>I1183+J1183</f>
        <v>658.9</v>
      </c>
      <c r="L1183" s="106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J1183" s="51"/>
      <c r="AK1183" s="51"/>
      <c r="AL1183" s="51"/>
      <c r="AM1183" s="51"/>
      <c r="AN1183" s="51"/>
      <c r="AO1183" s="51"/>
      <c r="AP1183" s="51"/>
      <c r="AQ1183" s="51"/>
      <c r="AR1183" s="51"/>
      <c r="AS1183" s="51"/>
      <c r="AT1183" s="51"/>
      <c r="AU1183" s="51"/>
      <c r="AV1183" s="51"/>
      <c r="AW1183" s="51"/>
      <c r="AX1183" s="51"/>
      <c r="AY1183" s="51"/>
      <c r="AZ1183" s="51"/>
      <c r="BA1183" s="51"/>
      <c r="BB1183" s="51"/>
      <c r="BC1183" s="51"/>
      <c r="BD1183" s="51"/>
      <c r="BE1183" s="51"/>
      <c r="BF1183" s="51"/>
      <c r="BG1183" s="51"/>
      <c r="BH1183" s="51"/>
      <c r="BI1183" s="51"/>
      <c r="BJ1183" s="51"/>
      <c r="BK1183" s="51"/>
      <c r="BL1183" s="51"/>
      <c r="BM1183" s="51"/>
      <c r="BN1183" s="51"/>
      <c r="BO1183" s="51"/>
      <c r="BP1183" s="51"/>
      <c r="BQ1183" s="51"/>
      <c r="BR1183" s="51"/>
      <c r="BS1183" s="51"/>
      <c r="BT1183" s="51"/>
      <c r="BU1183" s="51"/>
      <c r="BV1183" s="51"/>
      <c r="BW1183" s="51"/>
      <c r="BX1183" s="51"/>
      <c r="BY1183" s="51"/>
      <c r="BZ1183" s="51"/>
      <c r="CA1183" s="51"/>
      <c r="CB1183" s="51"/>
      <c r="CC1183" s="51"/>
      <c r="CD1183" s="51"/>
      <c r="CE1183" s="51"/>
      <c r="CF1183" s="51"/>
      <c r="CG1183" s="51"/>
      <c r="CH1183" s="51"/>
      <c r="CI1183" s="51"/>
      <c r="CJ1183" s="51"/>
      <c r="CK1183" s="51"/>
      <c r="CL1183" s="51"/>
      <c r="CM1183" s="51"/>
      <c r="CN1183" s="51"/>
      <c r="CO1183" s="51"/>
      <c r="CP1183" s="51"/>
      <c r="CQ1183" s="51"/>
      <c r="CR1183" s="51"/>
      <c r="CS1183" s="51"/>
      <c r="CT1183" s="51"/>
      <c r="CU1183" s="51"/>
      <c r="CV1183" s="51"/>
      <c r="CW1183" s="51"/>
      <c r="CX1183" s="51"/>
      <c r="CY1183" s="51"/>
      <c r="CZ1183" s="51"/>
      <c r="DA1183" s="51"/>
      <c r="DB1183" s="51"/>
      <c r="DC1183" s="51"/>
      <c r="DD1183" s="51"/>
      <c r="DE1183" s="51"/>
      <c r="DF1183" s="51"/>
      <c r="DG1183" s="51"/>
      <c r="DH1183" s="51"/>
      <c r="DI1183" s="51"/>
      <c r="DJ1183" s="51"/>
      <c r="DK1183" s="51"/>
      <c r="DL1183" s="51"/>
      <c r="DM1183" s="51"/>
      <c r="DN1183" s="51"/>
      <c r="DO1183" s="51"/>
      <c r="DP1183" s="51"/>
      <c r="DQ1183" s="51"/>
      <c r="DR1183" s="51"/>
      <c r="DS1183" s="51"/>
      <c r="DT1183" s="51"/>
      <c r="DU1183" s="51"/>
      <c r="DV1183" s="51"/>
      <c r="DW1183" s="51"/>
      <c r="DX1183" s="51"/>
      <c r="DY1183" s="51"/>
      <c r="DZ1183" s="51"/>
      <c r="EA1183" s="51"/>
      <c r="EB1183" s="51"/>
      <c r="EC1183" s="51"/>
      <c r="ED1183" s="51"/>
      <c r="EE1183" s="51"/>
      <c r="EF1183" s="51"/>
      <c r="EG1183" s="51"/>
      <c r="EH1183" s="51"/>
      <c r="EI1183" s="51"/>
      <c r="EJ1183" s="51"/>
      <c r="EK1183" s="51"/>
      <c r="EL1183" s="51"/>
      <c r="EM1183" s="51"/>
      <c r="EN1183" s="51"/>
      <c r="EO1183" s="51"/>
      <c r="EP1183" s="51"/>
      <c r="EQ1183" s="51"/>
      <c r="ER1183" s="51"/>
      <c r="ES1183" s="51"/>
      <c r="ET1183" s="51"/>
      <c r="EU1183" s="51"/>
      <c r="EV1183" s="51"/>
      <c r="EW1183" s="51"/>
      <c r="EX1183" s="51"/>
      <c r="EY1183" s="51"/>
      <c r="EZ1183" s="51"/>
      <c r="FA1183" s="51"/>
      <c r="FB1183" s="51"/>
      <c r="FC1183" s="51"/>
      <c r="FD1183" s="51"/>
      <c r="FE1183" s="51"/>
      <c r="FF1183" s="51"/>
      <c r="FG1183" s="51"/>
      <c r="FH1183" s="51"/>
      <c r="FI1183" s="51"/>
      <c r="FJ1183" s="51"/>
      <c r="FK1183" s="51"/>
      <c r="FL1183" s="51"/>
      <c r="FM1183" s="51"/>
      <c r="FN1183" s="51"/>
    </row>
    <row r="1184" spans="1:170" s="54" customFormat="1" ht="16.5">
      <c r="A1184" s="150" t="s">
        <v>15</v>
      </c>
      <c r="B1184" s="87"/>
      <c r="C1184" s="87"/>
      <c r="D1184" s="87"/>
      <c r="E1184" s="87"/>
      <c r="F1184" s="87"/>
      <c r="G1184" s="100">
        <f>SUM(G18,G176,G199,G293,G316,G463,G568,G608,G712,G792,G898,G931,G959,G1170)</f>
        <v>5997705.4</v>
      </c>
      <c r="H1184" s="100">
        <f>SUM(H18,H176,H199,H293,H316,H463,H568,H608,H712,H792,H898,H931,H959,H1170)</f>
        <v>29352.20000000001</v>
      </c>
      <c r="I1184" s="99">
        <f t="shared" si="118"/>
        <v>6027057.600000001</v>
      </c>
      <c r="J1184" s="100">
        <f>SUM(J18,J176,J199,J293,J316,J463,J568,J608,J712,J792,J898,J931,J959,J1170)</f>
        <v>638149.6</v>
      </c>
      <c r="K1184" s="96">
        <f>I1184+J1184</f>
        <v>6665207.2</v>
      </c>
      <c r="L1184" s="107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J1184" s="51"/>
      <c r="AK1184" s="51"/>
      <c r="AL1184" s="51"/>
      <c r="AM1184" s="51"/>
      <c r="AN1184" s="51"/>
      <c r="AO1184" s="51"/>
      <c r="AP1184" s="51"/>
      <c r="AQ1184" s="51"/>
      <c r="AR1184" s="51"/>
      <c r="AS1184" s="51"/>
      <c r="AT1184" s="51"/>
      <c r="AU1184" s="51"/>
      <c r="AV1184" s="51"/>
      <c r="AW1184" s="51"/>
      <c r="AX1184" s="51"/>
      <c r="AY1184" s="51"/>
      <c r="AZ1184" s="51"/>
      <c r="BA1184" s="51"/>
      <c r="BB1184" s="51"/>
      <c r="BC1184" s="51"/>
      <c r="BD1184" s="51"/>
      <c r="BE1184" s="51"/>
      <c r="BF1184" s="51"/>
      <c r="BG1184" s="51"/>
      <c r="BH1184" s="51"/>
      <c r="BI1184" s="51"/>
      <c r="BJ1184" s="51"/>
      <c r="BK1184" s="51"/>
      <c r="BL1184" s="51"/>
      <c r="BM1184" s="51"/>
      <c r="BN1184" s="51"/>
      <c r="BO1184" s="51"/>
      <c r="BP1184" s="51"/>
      <c r="BQ1184" s="51"/>
      <c r="BR1184" s="51"/>
      <c r="BS1184" s="51"/>
      <c r="BT1184" s="51"/>
      <c r="BU1184" s="51"/>
      <c r="BV1184" s="51"/>
      <c r="BW1184" s="51"/>
      <c r="BX1184" s="51"/>
      <c r="BY1184" s="51"/>
      <c r="BZ1184" s="51"/>
      <c r="CA1184" s="51"/>
      <c r="CB1184" s="51"/>
      <c r="CC1184" s="51"/>
      <c r="CD1184" s="51"/>
      <c r="CE1184" s="51"/>
      <c r="CF1184" s="51"/>
      <c r="CG1184" s="51"/>
      <c r="CH1184" s="51"/>
      <c r="CI1184" s="51"/>
      <c r="CJ1184" s="51"/>
      <c r="CK1184" s="51"/>
      <c r="CL1184" s="51"/>
      <c r="CM1184" s="51"/>
      <c r="CN1184" s="51"/>
      <c r="CO1184" s="51"/>
      <c r="CP1184" s="51"/>
      <c r="CQ1184" s="51"/>
      <c r="CR1184" s="51"/>
      <c r="CS1184" s="51"/>
      <c r="CT1184" s="51"/>
      <c r="CU1184" s="51"/>
      <c r="CV1184" s="51"/>
      <c r="CW1184" s="51"/>
      <c r="CX1184" s="51"/>
      <c r="CY1184" s="51"/>
      <c r="CZ1184" s="51"/>
      <c r="DA1184" s="51"/>
      <c r="DB1184" s="51"/>
      <c r="DC1184" s="51"/>
      <c r="DD1184" s="51"/>
      <c r="DE1184" s="51"/>
      <c r="DF1184" s="51"/>
      <c r="DG1184" s="51"/>
      <c r="DH1184" s="51"/>
      <c r="DI1184" s="51"/>
      <c r="DJ1184" s="51"/>
      <c r="DK1184" s="51"/>
      <c r="DL1184" s="51"/>
      <c r="DM1184" s="51"/>
      <c r="DN1184" s="51"/>
      <c r="DO1184" s="51"/>
      <c r="DP1184" s="51"/>
      <c r="DQ1184" s="51"/>
      <c r="DR1184" s="51"/>
      <c r="DS1184" s="51"/>
      <c r="DT1184" s="51"/>
      <c r="DU1184" s="51"/>
      <c r="DV1184" s="51"/>
      <c r="DW1184" s="51"/>
      <c r="DX1184" s="51"/>
      <c r="DY1184" s="51"/>
      <c r="DZ1184" s="51"/>
      <c r="EA1184" s="51"/>
      <c r="EB1184" s="51"/>
      <c r="EC1184" s="51"/>
      <c r="ED1184" s="51"/>
      <c r="EE1184" s="51"/>
      <c r="EF1184" s="51"/>
      <c r="EG1184" s="51"/>
      <c r="EH1184" s="51"/>
      <c r="EI1184" s="51"/>
      <c r="EJ1184" s="51"/>
      <c r="EK1184" s="51"/>
      <c r="EL1184" s="51"/>
      <c r="EM1184" s="51"/>
      <c r="EN1184" s="51"/>
      <c r="EO1184" s="51"/>
      <c r="EP1184" s="51"/>
      <c r="EQ1184" s="51"/>
      <c r="ER1184" s="51"/>
      <c r="ES1184" s="51"/>
      <c r="ET1184" s="51"/>
      <c r="EU1184" s="51"/>
      <c r="EV1184" s="51"/>
      <c r="EW1184" s="51"/>
      <c r="EX1184" s="51"/>
      <c r="EY1184" s="51"/>
      <c r="EZ1184" s="51"/>
      <c r="FA1184" s="51"/>
      <c r="FB1184" s="51"/>
      <c r="FC1184" s="51"/>
      <c r="FD1184" s="51"/>
      <c r="FE1184" s="51"/>
      <c r="FF1184" s="51"/>
      <c r="FG1184" s="51"/>
      <c r="FH1184" s="51"/>
      <c r="FI1184" s="51"/>
      <c r="FJ1184" s="51"/>
      <c r="FK1184" s="51"/>
      <c r="FL1184" s="51"/>
      <c r="FM1184" s="51"/>
      <c r="FN1184" s="51"/>
    </row>
    <row r="1185" spans="1:10" s="51" customFormat="1" ht="16.5" hidden="1">
      <c r="A1185" s="89" t="s">
        <v>73</v>
      </c>
      <c r="B1185" s="53"/>
      <c r="C1185" s="53"/>
      <c r="D1185" s="53"/>
      <c r="E1185" s="53"/>
      <c r="F1185" s="53"/>
      <c r="G1185" s="100"/>
      <c r="H1185" s="50"/>
      <c r="I1185" s="50"/>
      <c r="J1185" s="50"/>
    </row>
    <row r="1186" spans="1:10" s="51" customFormat="1" ht="16.5" hidden="1">
      <c r="A1186" s="89" t="s">
        <v>74</v>
      </c>
      <c r="B1186" s="53"/>
      <c r="C1186" s="53"/>
      <c r="D1186" s="53"/>
      <c r="E1186" s="53"/>
      <c r="F1186" s="53"/>
      <c r="G1186" s="100"/>
      <c r="H1186" s="50"/>
      <c r="I1186" s="50"/>
      <c r="J1186" s="50"/>
    </row>
    <row r="1187" spans="1:170" s="48" customFormat="1" ht="12.75">
      <c r="A1187" s="90"/>
      <c r="B1187" s="55"/>
      <c r="C1187" s="55"/>
      <c r="D1187" s="55"/>
      <c r="E1187" s="55"/>
      <c r="F1187" s="55"/>
      <c r="G1187" s="101"/>
      <c r="H1187" s="44"/>
      <c r="I1187" s="44"/>
      <c r="J1187" s="44"/>
      <c r="K1187" s="38"/>
      <c r="L1187" s="39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  <c r="BK1187" s="38"/>
      <c r="BL1187" s="38"/>
      <c r="BM1187" s="38"/>
      <c r="BN1187" s="38"/>
      <c r="BO1187" s="38"/>
      <c r="BP1187" s="38"/>
      <c r="BQ1187" s="38"/>
      <c r="BR1187" s="38"/>
      <c r="BS1187" s="38"/>
      <c r="BT1187" s="38"/>
      <c r="BU1187" s="38"/>
      <c r="BV1187" s="38"/>
      <c r="BW1187" s="38"/>
      <c r="BX1187" s="38"/>
      <c r="BY1187" s="38"/>
      <c r="BZ1187" s="38"/>
      <c r="CA1187" s="38"/>
      <c r="CB1187" s="38"/>
      <c r="CC1187" s="38"/>
      <c r="CD1187" s="38"/>
      <c r="CE1187" s="38"/>
      <c r="CF1187" s="38"/>
      <c r="CG1187" s="38"/>
      <c r="CH1187" s="38"/>
      <c r="CI1187" s="38"/>
      <c r="CJ1187" s="38"/>
      <c r="CK1187" s="38"/>
      <c r="CL1187" s="38"/>
      <c r="CM1187" s="38"/>
      <c r="CN1187" s="38"/>
      <c r="CO1187" s="38"/>
      <c r="CP1187" s="38"/>
      <c r="CQ1187" s="38"/>
      <c r="CR1187" s="38"/>
      <c r="CS1187" s="38"/>
      <c r="CT1187" s="38"/>
      <c r="CU1187" s="38"/>
      <c r="CV1187" s="38"/>
      <c r="CW1187" s="38"/>
      <c r="CX1187" s="38"/>
      <c r="CY1187" s="38"/>
      <c r="CZ1187" s="38"/>
      <c r="DA1187" s="38"/>
      <c r="DB1187" s="38"/>
      <c r="DC1187" s="38"/>
      <c r="DD1187" s="38"/>
      <c r="DE1187" s="38"/>
      <c r="DF1187" s="38"/>
      <c r="DG1187" s="38"/>
      <c r="DH1187" s="38"/>
      <c r="DI1187" s="38"/>
      <c r="DJ1187" s="38"/>
      <c r="DK1187" s="38"/>
      <c r="DL1187" s="38"/>
      <c r="DM1187" s="38"/>
      <c r="DN1187" s="38"/>
      <c r="DO1187" s="38"/>
      <c r="DP1187" s="38"/>
      <c r="DQ1187" s="38"/>
      <c r="DR1187" s="38"/>
      <c r="DS1187" s="38"/>
      <c r="DT1187" s="38"/>
      <c r="DU1187" s="38"/>
      <c r="DV1187" s="38"/>
      <c r="DW1187" s="38"/>
      <c r="DX1187" s="38"/>
      <c r="DY1187" s="38"/>
      <c r="DZ1187" s="38"/>
      <c r="EA1187" s="38"/>
      <c r="EB1187" s="38"/>
      <c r="EC1187" s="38"/>
      <c r="ED1187" s="38"/>
      <c r="EE1187" s="38"/>
      <c r="EF1187" s="38"/>
      <c r="EG1187" s="38"/>
      <c r="EH1187" s="38"/>
      <c r="EI1187" s="38"/>
      <c r="EJ1187" s="38"/>
      <c r="EK1187" s="38"/>
      <c r="EL1187" s="38"/>
      <c r="EM1187" s="38"/>
      <c r="EN1187" s="38"/>
      <c r="EO1187" s="38"/>
      <c r="EP1187" s="38"/>
      <c r="EQ1187" s="38"/>
      <c r="ER1187" s="38"/>
      <c r="ES1187" s="38"/>
      <c r="ET1187" s="38"/>
      <c r="EU1187" s="38"/>
      <c r="EV1187" s="38"/>
      <c r="EW1187" s="38"/>
      <c r="EX1187" s="38"/>
      <c r="EY1187" s="38"/>
      <c r="EZ1187" s="38"/>
      <c r="FA1187" s="38"/>
      <c r="FB1187" s="38"/>
      <c r="FC1187" s="38"/>
      <c r="FD1187" s="38"/>
      <c r="FE1187" s="38"/>
      <c r="FF1187" s="38"/>
      <c r="FG1187" s="38"/>
      <c r="FH1187" s="38"/>
      <c r="FI1187" s="38"/>
      <c r="FJ1187" s="38"/>
      <c r="FK1187" s="38"/>
      <c r="FL1187" s="38"/>
      <c r="FM1187" s="38"/>
      <c r="FN1187" s="38"/>
    </row>
    <row r="1188" spans="1:26" ht="42.75" customHeight="1">
      <c r="A1188" s="38"/>
      <c r="B1188" s="56"/>
      <c r="C1188" s="56"/>
      <c r="D1188" s="56"/>
      <c r="E1188" s="56"/>
      <c r="F1188" s="56"/>
      <c r="G1188" s="56"/>
      <c r="H1188" s="39"/>
      <c r="I1188" s="44"/>
      <c r="J1188" s="44"/>
      <c r="K1188" s="44"/>
      <c r="L1188" s="39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</row>
    <row r="1189" spans="1:26" ht="12.75">
      <c r="A1189" s="38"/>
      <c r="B1189" s="56"/>
      <c r="C1189" s="56"/>
      <c r="D1189" s="56"/>
      <c r="E1189" s="56"/>
      <c r="F1189" s="56"/>
      <c r="G1189" s="39"/>
      <c r="H1189" s="44"/>
      <c r="I1189" s="44"/>
      <c r="J1189" s="44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</row>
    <row r="1190" spans="1:26" ht="12.75">
      <c r="A1190" s="38"/>
      <c r="B1190" s="56"/>
      <c r="C1190" s="56"/>
      <c r="D1190" s="56"/>
      <c r="E1190" s="56"/>
      <c r="F1190" s="56"/>
      <c r="G1190" s="39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</row>
    <row r="1191" spans="1:26" ht="12.75">
      <c r="A1191" s="38"/>
      <c r="B1191" s="56"/>
      <c r="C1191" s="56"/>
      <c r="D1191" s="56"/>
      <c r="E1191" s="56"/>
      <c r="F1191" s="56"/>
      <c r="G1191" s="39"/>
      <c r="H1191" s="38"/>
      <c r="I1191" s="38"/>
      <c r="J1191" s="44"/>
      <c r="K1191" s="44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</row>
    <row r="1192" spans="1:26" ht="12.75">
      <c r="A1192" s="38"/>
      <c r="B1192" s="56"/>
      <c r="C1192" s="56"/>
      <c r="D1192" s="56"/>
      <c r="E1192" s="56"/>
      <c r="F1192" s="116"/>
      <c r="G1192" s="39"/>
      <c r="H1192" s="38"/>
      <c r="I1192" s="38"/>
      <c r="J1192" s="38"/>
      <c r="K1192" s="116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</row>
    <row r="1193" spans="1:26" ht="12.75">
      <c r="A1193" s="38"/>
      <c r="B1193" s="56"/>
      <c r="C1193" s="56"/>
      <c r="D1193" s="56"/>
      <c r="E1193" s="56"/>
      <c r="F1193" s="56"/>
      <c r="G1193" s="39"/>
      <c r="H1193" s="38"/>
      <c r="I1193" s="38"/>
      <c r="J1193" s="44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</row>
    <row r="1194" spans="1:26" ht="12.75">
      <c r="A1194" s="38"/>
      <c r="B1194" s="56"/>
      <c r="C1194" s="56"/>
      <c r="D1194" s="56"/>
      <c r="E1194" s="56"/>
      <c r="F1194" s="56"/>
      <c r="G1194" s="39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</row>
    <row r="1195" spans="1:26" ht="12.75">
      <c r="A1195" s="38"/>
      <c r="B1195" s="56"/>
      <c r="C1195" s="56"/>
      <c r="D1195" s="56"/>
      <c r="E1195" s="56"/>
      <c r="F1195" s="56"/>
      <c r="G1195" s="39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</row>
    <row r="1196" spans="1:26" ht="12.75">
      <c r="A1196" s="38"/>
      <c r="B1196" s="56"/>
      <c r="C1196" s="56"/>
      <c r="D1196" s="56"/>
      <c r="E1196" s="56"/>
      <c r="F1196" s="56"/>
      <c r="G1196" s="39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</row>
    <row r="1197" spans="1:26" ht="12.75">
      <c r="A1197" s="38"/>
      <c r="B1197" s="56"/>
      <c r="C1197" s="56"/>
      <c r="D1197" s="56"/>
      <c r="E1197" s="56"/>
      <c r="F1197" s="56"/>
      <c r="G1197" s="39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</row>
    <row r="1198" spans="1:26" ht="12.75">
      <c r="A1198" s="38"/>
      <c r="B1198" s="56"/>
      <c r="C1198" s="56"/>
      <c r="D1198" s="56"/>
      <c r="E1198" s="56"/>
      <c r="F1198" s="56"/>
      <c r="G1198" s="39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</row>
    <row r="1199" spans="8:26" ht="12.75"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</row>
    <row r="1202" ht="12.75">
      <c r="J1202" s="35">
        <f>582104.2+47545.4</f>
        <v>629649.6</v>
      </c>
    </row>
    <row r="1204" spans="8:12" ht="12.75">
      <c r="H1204" s="37"/>
      <c r="I1204" s="37"/>
      <c r="J1204" s="37"/>
      <c r="K1204" s="37"/>
      <c r="L1204" s="37"/>
    </row>
    <row r="1207" spans="8:10" ht="12.75">
      <c r="H1207" s="37"/>
      <c r="I1207" s="37"/>
      <c r="J1207" s="37"/>
    </row>
    <row r="1210" spans="8:12" ht="12.75">
      <c r="H1210" s="37"/>
      <c r="I1210" s="37"/>
      <c r="J1210" s="37"/>
      <c r="L1210" s="37"/>
    </row>
    <row r="1212" ht="12.75">
      <c r="K1212" s="37"/>
    </row>
    <row r="1216" ht="12.75">
      <c r="G1216" s="37"/>
    </row>
  </sheetData>
  <mergeCells count="3">
    <mergeCell ref="A14:G14"/>
    <mergeCell ref="A13:G13"/>
    <mergeCell ref="A12:G12"/>
  </mergeCells>
  <printOptions/>
  <pageMargins left="1.1811023622047245" right="0.3937007874015748" top="0.7874015748031497" bottom="0.3937007874015748" header="0.5118110236220472" footer="0.35433070866141736"/>
  <pageSetup fitToHeight="0" fitToWidth="1" horizontalDpi="600" verticalDpi="600" orientation="portrait" paperSize="9" scale="58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user</cp:lastModifiedBy>
  <cp:lastPrinted>2011-06-03T07:10:01Z</cp:lastPrinted>
  <dcterms:created xsi:type="dcterms:W3CDTF">2005-10-27T10:10:18Z</dcterms:created>
  <dcterms:modified xsi:type="dcterms:W3CDTF">2011-06-03T07:13:41Z</dcterms:modified>
  <cp:category/>
  <cp:version/>
  <cp:contentType/>
  <cp:contentStatus/>
</cp:coreProperties>
</file>