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5401" windowWidth="12390" windowHeight="8640" tabRatio="548" activeTab="1"/>
  </bookViews>
  <sheets>
    <sheet name="прил.12" sheetId="1" r:id="rId1"/>
    <sheet name="прил.14" sheetId="2" r:id="rId2"/>
    <sheet name="прил.16" sheetId="3" r:id="rId3"/>
  </sheets>
  <externalReferences>
    <externalReference r:id="rId6"/>
  </externalReferences>
  <definedNames>
    <definedName name="_xlnm.Print_Titles" localSheetId="0">'прил.12'!$19:$20</definedName>
    <definedName name="_xlnm.Print_Titles" localSheetId="1">'прил.14'!$14:$15</definedName>
    <definedName name="_xlnm.Print_Titles" localSheetId="2">'прил.16'!$14:$15</definedName>
    <definedName name="_xlnm.Print_Area" localSheetId="0">'прил.12'!$A$1:$F$82</definedName>
    <definedName name="_xlnm.Print_Area" localSheetId="1">'прил.14'!$A$1:$I$692</definedName>
    <definedName name="_xlnm.Print_Area" localSheetId="2">'прил.16'!$A$1:$I$1041</definedName>
  </definedNames>
  <calcPr fullCalcOnLoad="1"/>
</workbook>
</file>

<file path=xl/sharedStrings.xml><?xml version="1.0" encoding="utf-8"?>
<sst xmlns="http://schemas.openxmlformats.org/spreadsheetml/2006/main" count="7247" uniqueCount="838">
  <si>
    <t>Общегосударственные вопросы</t>
  </si>
  <si>
    <t>920</t>
  </si>
  <si>
    <t xml:space="preserve"> Строительство медицинского комплекса амбулаторного обслуживания населения в 8 мкр</t>
  </si>
  <si>
    <t xml:space="preserve"> Строительство детского сада  № 21 в 112 мкр. </t>
  </si>
  <si>
    <t>Капитальный ремонт здания по Северному шоссе,67</t>
  </si>
  <si>
    <t xml:space="preserve">  Реализация функций, связанных с общегосударственным управлением</t>
  </si>
  <si>
    <t xml:space="preserve">  Выполнение других обязательств органов местного самоуправления</t>
  </si>
  <si>
    <t xml:space="preserve">  Ведомственные целевые программы</t>
  </si>
  <si>
    <t>Условно утверждаемые расходы</t>
  </si>
  <si>
    <t>Всего расходов</t>
  </si>
  <si>
    <t xml:space="preserve">  Государственная автоматизированная информационная система "Выборы", повышение правовой культуры избирателей и обучение организаторов выборов </t>
  </si>
  <si>
    <t>020 04 00</t>
  </si>
  <si>
    <t>020 00 00</t>
  </si>
  <si>
    <t>525 02 00</t>
  </si>
  <si>
    <t>Осуществление отдельных государственных полномочий</t>
  </si>
  <si>
    <t>525 00 00</t>
  </si>
  <si>
    <t>525 04 00</t>
  </si>
  <si>
    <t>522 11 00</t>
  </si>
  <si>
    <t>525 01 00</t>
  </si>
  <si>
    <t xml:space="preserve">Осуществление отдельных государственных полномочий в сфере образования </t>
  </si>
  <si>
    <t>525 01 01</t>
  </si>
  <si>
    <t xml:space="preserve"> Функционирование высшего должностного лица субъекта Российской Федерации и муниципального образования</t>
  </si>
  <si>
    <t>425 00 00</t>
  </si>
  <si>
    <t>425 99 00</t>
  </si>
  <si>
    <t>Начальное профессиональное образование</t>
  </si>
  <si>
    <t xml:space="preserve"> Профессионально-технические училища</t>
  </si>
  <si>
    <t xml:space="preserve">  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</si>
  <si>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</si>
  <si>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</si>
  <si>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>002 04 00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</si>
  <si>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</si>
  <si>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   Центральный аппарат</t>
  </si>
  <si>
    <t>521 00 00</t>
  </si>
  <si>
    <t>521 02 00</t>
  </si>
  <si>
    <t xml:space="preserve">  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</si>
  <si>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 xml:space="preserve">  Функционирование органов в сфере национальной безопасности и правоохранительной деятельности</t>
  </si>
  <si>
    <t xml:space="preserve"> Вещевое обеспечение</t>
  </si>
  <si>
    <t xml:space="preserve">   Пособия и компенсации военнослужащим,  приравненным к ним лицам, а также уволенным из их числа</t>
  </si>
  <si>
    <t xml:space="preserve">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</si>
  <si>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068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</si>
  <si>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</si>
  <si>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</si>
  <si>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</si>
  <si>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</si>
  <si>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</si>
  <si>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</si>
  <si>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</si>
  <si>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</si>
  <si>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ПР</t>
  </si>
  <si>
    <t>ЦСР</t>
  </si>
  <si>
    <t>ВР</t>
  </si>
  <si>
    <t>005</t>
  </si>
  <si>
    <t xml:space="preserve"> Межбюджетные трансферты</t>
  </si>
  <si>
    <t xml:space="preserve"> Детские дошкольные учреждения</t>
  </si>
  <si>
    <t>102 01 00</t>
  </si>
  <si>
    <t>917</t>
  </si>
  <si>
    <t>505 34 01</t>
  </si>
  <si>
    <t xml:space="preserve">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</si>
  <si>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 xml:space="preserve">  Городские мероприятия в области социальной политики</t>
  </si>
  <si>
    <t>901</t>
  </si>
  <si>
    <t xml:space="preserve">   Жилой дом № 30 в 106 мкр (субсидии на капитальные вложения)</t>
  </si>
  <si>
    <t>902</t>
  </si>
  <si>
    <t xml:space="preserve">102 01 02 </t>
  </si>
  <si>
    <t>903</t>
  </si>
  <si>
    <t>904</t>
  </si>
  <si>
    <t>905</t>
  </si>
  <si>
    <t>906</t>
  </si>
  <si>
    <t>907</t>
  </si>
  <si>
    <t>911</t>
  </si>
  <si>
    <t>912</t>
  </si>
  <si>
    <t>913</t>
  </si>
  <si>
    <t>914</t>
  </si>
  <si>
    <t>915</t>
  </si>
  <si>
    <t>916</t>
  </si>
  <si>
    <t xml:space="preserve">   Субсидии на поддержку и развитие физической культуры и спорта</t>
  </si>
  <si>
    <t>520 21 00</t>
  </si>
  <si>
    <t>520 18 00</t>
  </si>
  <si>
    <t>522 18 00</t>
  </si>
  <si>
    <t>521 02 07</t>
  </si>
  <si>
    <t>Социальная помощь</t>
  </si>
  <si>
    <t>505 46 00</t>
  </si>
  <si>
    <t xml:space="preserve">  Возмещение затрат на обеспечение теплоснабжения объектов недвижимости, расположенных на территории города</t>
  </si>
  <si>
    <t>МЭРИЯ ГОРОДА</t>
  </si>
  <si>
    <t>ЧЕРЕПОВЕЦКАЯ ГОРОДСКАЯ ДУМА</t>
  </si>
  <si>
    <t>ДЕПАРТАМЕНТ ЖИЛИЩНО-КОММУНАЛЬНОГО ХОЗЯЙСТВА МЭРИИ ГОРОДА</t>
  </si>
  <si>
    <t>УПРАВЛЕНИЕ АРХИТЕКТУРЫ И ГРАДОСТРОИТЕЛЬСТВА МЭРИИ ГОРОДА</t>
  </si>
  <si>
    <t>УПРАВЛЕНИЕ ОБРАЗОВАНИЯ МЭРИИ ГОРОДА</t>
  </si>
  <si>
    <t>УПРАВЛЕНИЕ ЗДРАВООХРАНЕНИЯ МЭРИИ ГОРОДА</t>
  </si>
  <si>
    <t>ФИНАНСОВОЕ УПРАВЛЕНИЕ МЭРИИ ГОРОДА</t>
  </si>
  <si>
    <t>КОМИТЕТ ПО ФИЗИЧЕСКОЙ КУЛЬТУРЕ И СПОРТУ МЭРИИ ГОРОДА</t>
  </si>
  <si>
    <t>КОМИТЕТ СОЦИАЛЬНОЙ ЗАЩИТЫ НАСЕЛЕНИЯ ГОРОДА</t>
  </si>
  <si>
    <t>КОМИТЕТ ПО УПРАВЛЕНИЮ ИМУЩЕСТВОМ ГОРОДА</t>
  </si>
  <si>
    <t xml:space="preserve"> КОМИТЕТ ПО КОНТРОЛЮ В СФЕРЕ БЛАГОУСТРОЙСТВА И ОХРАНЫ ОКРУЖАЮЩЕЙ СРЕДЫ ГОРОДА</t>
  </si>
  <si>
    <t>УПРАВЛЕНИЕ КАПИТАЛЬНОГО СТРОИТЕЛЬСТВА И РЕМОНТОВ МЭРИИ ГОРОДА</t>
  </si>
  <si>
    <t xml:space="preserve">  КАПИТАЛЬНЫЕ РЕМОНТЫ</t>
  </si>
  <si>
    <t xml:space="preserve">  КАПИТАЛЬНОЕ СТРОИТЕЛЬСТВО</t>
  </si>
  <si>
    <t>Реализация государственной политики в области приватизации и управления муниципальной собственностью</t>
  </si>
  <si>
    <t xml:space="preserve">  Реализация государственной политики в области приватизации и управления муниципальной собственностью</t>
  </si>
  <si>
    <t xml:space="preserve">  Строительство кладбища в д. Ивачево. 2 очередь</t>
  </si>
  <si>
    <t xml:space="preserve">Субвенции на передаваемые полномочия по предоставлению субсидий на оплату жилого помещения и коммунальных услуг </t>
  </si>
  <si>
    <t xml:space="preserve"> Воинские формирования </t>
  </si>
  <si>
    <t xml:space="preserve"> Иные безвозмездные и безвозвратные перечисления</t>
  </si>
  <si>
    <t>022</t>
  </si>
  <si>
    <t>Общее образование</t>
  </si>
  <si>
    <t>Другие вопросы в области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</si>
  <si>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</si>
  <si>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ВСЕГО</t>
  </si>
  <si>
    <t>разница</t>
  </si>
  <si>
    <t xml:space="preserve">  Субсидии на обеспечение мероприятий по капитальному ремонту многоквартирных домов, за счет безвозмездных поступлений от государственной корпорации "Фонд содействия реформированию жилищно-коммунального хозяйства"</t>
  </si>
  <si>
    <t xml:space="preserve">  Капитальный ремонт муниципального жилищного фонда</t>
  </si>
  <si>
    <t xml:space="preserve"> Строительство объектов общегражданского назначения</t>
  </si>
  <si>
    <t>Благоустройство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</si>
  <si>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</si>
  <si>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</si>
  <si>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</si>
  <si>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102 02 17</t>
  </si>
  <si>
    <t>ОБРАЗОВАНИЕ</t>
  </si>
  <si>
    <t>Реализация государственных функций в области социальной политики</t>
  </si>
  <si>
    <t>098 00 00</t>
  </si>
  <si>
    <t>098 01 01</t>
  </si>
  <si>
    <t>098 02 01</t>
  </si>
  <si>
    <t>470 00 00</t>
  </si>
  <si>
    <t>470 99 00</t>
  </si>
  <si>
    <t>476 00 00</t>
  </si>
  <si>
    <t>476 99 00</t>
  </si>
  <si>
    <t>471 00 00</t>
  </si>
  <si>
    <t>471 99 00</t>
  </si>
  <si>
    <t>477 00 00</t>
  </si>
  <si>
    <t>477 99 00</t>
  </si>
  <si>
    <t>474 00 00</t>
  </si>
  <si>
    <t>474 99 00</t>
  </si>
  <si>
    <t>469 00 00</t>
  </si>
  <si>
    <t>469 99 00</t>
  </si>
  <si>
    <t xml:space="preserve"> 09 </t>
  </si>
  <si>
    <t xml:space="preserve"> Выполнение функций государственными органами</t>
  </si>
  <si>
    <t>065 00 00</t>
  </si>
  <si>
    <t>065 03 00</t>
  </si>
  <si>
    <t xml:space="preserve">  Процентные платежи по муниципальному долгу</t>
  </si>
  <si>
    <t xml:space="preserve">   Прочие расходы</t>
  </si>
  <si>
    <t xml:space="preserve">  Учреждения по внешкольной работе с детьми</t>
  </si>
  <si>
    <t xml:space="preserve">    Выполнение функций бюджетными учреждениями</t>
  </si>
  <si>
    <t>440 00 00</t>
  </si>
  <si>
    <t>440 99 00</t>
  </si>
  <si>
    <t>441 00 00</t>
  </si>
  <si>
    <t>441 99 00</t>
  </si>
  <si>
    <t>442 00 00</t>
  </si>
  <si>
    <t>442 99 00</t>
  </si>
  <si>
    <t>городской Думы</t>
  </si>
  <si>
    <t>к решению Череповецкой</t>
  </si>
  <si>
    <t xml:space="preserve">  Долгосрочная целевая программа "Безбарьерная среда" на 2010-2014 годы (за счет субсидий)</t>
  </si>
  <si>
    <t xml:space="preserve">  Долгосрочная целевая программа "Традиционная народная культура как основа сохранения культурной самобытности Вологодской области на 2011-2014 годы" (за счет субсидий)</t>
  </si>
  <si>
    <t xml:space="preserve">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</si>
  <si>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 Жилищное хозяйство</t>
  </si>
  <si>
    <t>521 01 18</t>
  </si>
  <si>
    <t xml:space="preserve"> Субсидии на обеспечение выплат стимулирующего характера работникам муниципальных учреждений здравоохранения</t>
  </si>
  <si>
    <t>524 14 00</t>
  </si>
  <si>
    <t>520 13 00</t>
  </si>
  <si>
    <t>524 00 00</t>
  </si>
  <si>
    <t xml:space="preserve"> Ведомственные целевые программы </t>
  </si>
  <si>
    <t xml:space="preserve"> Ведомственные целевые программы</t>
  </si>
  <si>
    <t>443 00 00</t>
  </si>
  <si>
    <t>443 99 00</t>
  </si>
  <si>
    <t>450 00 00</t>
  </si>
  <si>
    <t xml:space="preserve"> Государственная поддержка в сфере культуры, кинематографии, средств массовой информации</t>
  </si>
  <si>
    <t>450 85 00</t>
  </si>
  <si>
    <t xml:space="preserve">  Мероприятия по поддержке и развитию культуры, искусства, кинематографии, средств массовой информации и архивного дела</t>
  </si>
  <si>
    <t>512 00 00</t>
  </si>
  <si>
    <t>512 97 00</t>
  </si>
  <si>
    <t xml:space="preserve"> Социальное обслуживание населения</t>
  </si>
  <si>
    <t>507 00 00</t>
  </si>
  <si>
    <t xml:space="preserve">  Строительство мостового перехода через р. Шексну в створе ул. Архангельской</t>
  </si>
  <si>
    <t>525 03 00</t>
  </si>
  <si>
    <t>525 07 00</t>
  </si>
  <si>
    <t>Охрана объектов растительного и животного мира и среды их обитания</t>
  </si>
  <si>
    <t xml:space="preserve">  Учреждения социального обслуживание населения</t>
  </si>
  <si>
    <t>507 99 00</t>
  </si>
  <si>
    <t xml:space="preserve">  Мероприятия в области социальной политики  </t>
  </si>
  <si>
    <t>002 29 00</t>
  </si>
  <si>
    <t xml:space="preserve">  Обеспечение приватизации и проведение предпродажной подготовки объектов приватизации</t>
  </si>
  <si>
    <t>090 00 00</t>
  </si>
  <si>
    <t xml:space="preserve"> Оценка недвижимости, признание прав и регулирование отношений по государственной  и муниципальной собственности</t>
  </si>
  <si>
    <t>090 02 00</t>
  </si>
  <si>
    <t>330 00 00</t>
  </si>
  <si>
    <t>330 99 00</t>
  </si>
  <si>
    <t>Охрана окружающей среды</t>
  </si>
  <si>
    <t xml:space="preserve"> Бюджетные инвестиции в объекты капитального строительства, не включенные в целевые программы</t>
  </si>
  <si>
    <t xml:space="preserve"> Реконструкция мостового перехода через реку Ягорбу по пр.Победы </t>
  </si>
  <si>
    <t xml:space="preserve">   Реконструкция мостового перехода через реку Ягорбу по пр.Победы (субсидии на капитальные вложения)</t>
  </si>
  <si>
    <t xml:space="preserve">  Бюджетные инвестиции в объекты капитального строительства собственности муниципальных образований </t>
  </si>
  <si>
    <t xml:space="preserve">    Бюджетные инвестиции </t>
  </si>
  <si>
    <t>202 00 00</t>
  </si>
  <si>
    <t>202 01 00</t>
  </si>
  <si>
    <t>Резервные фонды</t>
  </si>
  <si>
    <t>НАЦИОНАЛЬНАЯ БЕЗОПАСНОСТЬ И ПРАВООХРАНИТЕЛЬНАЯ  ДЕЯТЕЛЬНОСТЬ</t>
  </si>
  <si>
    <t>Органы внутренних дел</t>
  </si>
  <si>
    <t>012</t>
  </si>
  <si>
    <t xml:space="preserve">  Выполнение функций государственными органами</t>
  </si>
  <si>
    <t>500</t>
  </si>
  <si>
    <t>"Здоровый город" на 2009-2015 годы</t>
  </si>
  <si>
    <t xml:space="preserve">  "Здоровый город" на 2009-2015 годы</t>
  </si>
  <si>
    <t xml:space="preserve">   "Здоровый город" на 2009-2015 годы</t>
  </si>
  <si>
    <t>360 00 00</t>
  </si>
  <si>
    <t>360 01 00</t>
  </si>
  <si>
    <t>область</t>
  </si>
  <si>
    <t>001 43 00</t>
  </si>
  <si>
    <t xml:space="preserve">507 99 00 </t>
  </si>
  <si>
    <t xml:space="preserve"> 505 46 00 </t>
  </si>
  <si>
    <t xml:space="preserve">  Мероприятия в области социальной политики</t>
  </si>
  <si>
    <t>521 01 01</t>
  </si>
  <si>
    <t xml:space="preserve"> Мероприятия по проведению оздоровительной кампании детей</t>
  </si>
  <si>
    <t xml:space="preserve"> Поддержка жилищного хозяйства</t>
  </si>
  <si>
    <t xml:space="preserve">  Субвенции на оплату жилищно-коммунальных услуг отдельным категориям граждан</t>
  </si>
  <si>
    <t>522 40 00</t>
  </si>
  <si>
    <t xml:space="preserve"> Прочие мероприятия по благоустройству</t>
  </si>
  <si>
    <t>Культура и кинематография</t>
  </si>
  <si>
    <t xml:space="preserve">  Мероприятия в области здравоохранения</t>
  </si>
  <si>
    <t xml:space="preserve">Культура и кинематография </t>
  </si>
  <si>
    <t xml:space="preserve">Физическая культура </t>
  </si>
  <si>
    <t>Здравоохранение</t>
  </si>
  <si>
    <t xml:space="preserve"> 02 </t>
  </si>
  <si>
    <t xml:space="preserve">Другие вопросы в области культуры, кинематографии </t>
  </si>
  <si>
    <t xml:space="preserve">  Мероприятия в области спорта и физической культуры, туризма</t>
  </si>
  <si>
    <t xml:space="preserve"> 102 01 02 </t>
  </si>
  <si>
    <t xml:space="preserve">   Набережная от Октябрьского моста до мостового перехода через р. Ягорба (субсидии на капитальные вложения)</t>
  </si>
  <si>
    <t xml:space="preserve">  Субсидии на капитальные вложения в рамках реализации долгосрочной целевой программы "Инвестиции в объекты капитального строительства на 2010-2012 гг."</t>
  </si>
  <si>
    <t>Управление внутренних дел по городу Череповцу</t>
  </si>
  <si>
    <t xml:space="preserve">  Обеспечение мероприятий по капитальному ремонту многоквартирных домов за счет средств городского бюджета</t>
  </si>
  <si>
    <t xml:space="preserve">  Субвенции на выполнение отдельных государственных полномочий по обеспечению мер социальной поддержки и социального обслуживания отдельных категорий граждан, а также предусмотренных частями 5-7 статьи 2 закона области от 17 декабря 2007 года № 1718-ОЗ "О наделении органов местного самоуправления отдельными государственным полномочиями в сфере труда и социальной защиты населения области" (ведомственная целевая программа "Пожарная безопасность учреждений социального обслуживания населения на 2009-2011 годы")</t>
  </si>
  <si>
    <t xml:space="preserve">   Субвенции на выполнение отдельных государственных полномочий по обеспечению мер социальной поддержки и социального обслуживания отдельных категорий граждан, а также предусмотренных частями 5-7 статьи 2 закона области от 17 декабря 2007 года № 1718-ОЗ "О наделении органов местного самоуправления отдельными государственным полномочиями в сфере труда и социальной защиты населения области" (ведомственная целевая программа "Пожарная безопасность учреждений социального обслуживания населения на 2009-2011 годы")</t>
  </si>
  <si>
    <t>Другие вопросы в области национальной безопасности и правоохранительной деятельности</t>
  </si>
  <si>
    <t xml:space="preserve"> Реализация государственных функций в области  национальной экономики</t>
  </si>
  <si>
    <t xml:space="preserve"> Молодежная политика и оздоровление детей</t>
  </si>
  <si>
    <t>Культура</t>
  </si>
  <si>
    <t xml:space="preserve"> Музеи и постоянные выставки</t>
  </si>
  <si>
    <t xml:space="preserve"> Библиотеки</t>
  </si>
  <si>
    <t xml:space="preserve">    Мероприятия по поддержке и развитию культуры, искусства, кинематографии, средств массовой информации и архивного дела</t>
  </si>
  <si>
    <t xml:space="preserve">  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 (умерших) инвалидов войны - участников Великой Отечественной войны, инвалидов и семей, имеющих     детей-инвалидов</t>
  </si>
  <si>
    <t xml:space="preserve">     Субсидии некоммерческим организациям
</t>
  </si>
  <si>
    <t>019</t>
  </si>
  <si>
    <t xml:space="preserve"> Субвенции на выполнение отдельных государственных полномочий по обеспечению мер социальной поддержки и социального обслуживания отдельных категорий граждан, а также предусмотренных частями                  5-7 статьи 2 закона области от 17 декабря 2007 года № 1718-ОЗ "О наделении органов местного самоуправления отдельными государственным полномочиями в сфере труда и социальной защиты населения области"</t>
  </si>
  <si>
    <t>2011 год</t>
  </si>
  <si>
    <t>2012 год</t>
  </si>
  <si>
    <t>2013 год</t>
  </si>
  <si>
    <t xml:space="preserve">   Строительство жилого дома № 25 в 115 мкр.(субсидии на капитальные вложения)</t>
  </si>
  <si>
    <t xml:space="preserve">    Строительство жилого дома № 25 в 115 мкр.</t>
  </si>
  <si>
    <t>102 02 11</t>
  </si>
  <si>
    <t>102 02 12</t>
  </si>
  <si>
    <t xml:space="preserve"> 10 </t>
  </si>
  <si>
    <t xml:space="preserve">   Строительство детского сада на 330 мест в 105 мкр (субсидии на капитальные вложения)</t>
  </si>
  <si>
    <t xml:space="preserve">   Строительство детского сада на 330 мест в 115 мкр (субсидии на капитальные вложения)</t>
  </si>
  <si>
    <t xml:space="preserve">   Медицинский комплекс амбулаторного обслуживания населения в 8 мкр.</t>
  </si>
  <si>
    <t xml:space="preserve">    Историко-этнографический музей "Усадьба Гальских" (субсидии на капитальные вложения)</t>
  </si>
  <si>
    <t>006</t>
  </si>
  <si>
    <t>Амбулаторная помощь</t>
  </si>
  <si>
    <t xml:space="preserve">Скорая медицинская помощь </t>
  </si>
  <si>
    <t>РАСХОДЫ</t>
  </si>
  <si>
    <t>Физическая культура и спорт</t>
  </si>
  <si>
    <t>079</t>
  </si>
  <si>
    <t>805,808,809</t>
  </si>
  <si>
    <t>,808,809</t>
  </si>
  <si>
    <t>340 83 00</t>
  </si>
  <si>
    <t>098 02 00</t>
  </si>
  <si>
    <t>522 14 00</t>
  </si>
  <si>
    <t xml:space="preserve">   Строительство объектов сметной стоимостью до 100 млн. рублей</t>
  </si>
  <si>
    <t xml:space="preserve"> Субсидии на реализацию долгосрочной целевой программы "Демографическое развитие Вологодской области" на 2009, 2010 годы
                                   </t>
  </si>
  <si>
    <t xml:space="preserve"> Субсидии на питание школьников в рамках реализации  долгосрочной целевой программы "Демографическое развитие Вологодской области" на 2009, 2010 годы
                                   </t>
  </si>
  <si>
    <t xml:space="preserve">  Строительство кладбища в районе д. Ивачево. 2 очередь</t>
  </si>
  <si>
    <t xml:space="preserve"> Строительство улицы Раахе (от Октябрьского пр. до ул.Рыбинской) на участке от Октябрьского пр. до ул. Годовикова</t>
  </si>
  <si>
    <t xml:space="preserve"> Детский сад в 115 мкр.</t>
  </si>
  <si>
    <t>102 02 19</t>
  </si>
  <si>
    <t>102 02 20</t>
  </si>
  <si>
    <t xml:space="preserve"> Другие вопросы в области охраны окружающей среды </t>
  </si>
  <si>
    <t xml:space="preserve">  Строительство детского сада в 115 мкр.</t>
  </si>
  <si>
    <t xml:space="preserve">  Предоставление гражданам субсидий на оплату жилого помещения и коммунальных услуг </t>
  </si>
  <si>
    <t>505 48 00</t>
  </si>
  <si>
    <t xml:space="preserve"> Государственная поддержка отдельных отраслей промышленности и топливно-энергетического комплекса</t>
  </si>
  <si>
    <t>521 01 00</t>
  </si>
  <si>
    <t>Долгосрочные целевые программы</t>
  </si>
  <si>
    <t>522 14 01</t>
  </si>
  <si>
    <t>522 14 02</t>
  </si>
  <si>
    <t>522 30 00</t>
  </si>
  <si>
    <t>522 20 00</t>
  </si>
  <si>
    <t>520 10 00</t>
  </si>
  <si>
    <t xml:space="preserve"> Школы-детские сады, школы начальные, неполные средние и средние</t>
  </si>
  <si>
    <t>024</t>
  </si>
  <si>
    <t>023</t>
  </si>
  <si>
    <t xml:space="preserve">  Реконструкция Северного шоссе</t>
  </si>
  <si>
    <t xml:space="preserve">    Реконструкция путепровода через пр. Победы в районе ул. Судостроительной (с расширением улично-дорожной сети) (проектно-сметная документация) (субсидии на капитальные вложения)</t>
  </si>
  <si>
    <t>город</t>
  </si>
  <si>
    <t xml:space="preserve">  Строительство магистральных сетей для застройки Зашекснинского района (112 микрорайон) (2 этап)</t>
  </si>
  <si>
    <t xml:space="preserve">  Строительство магистральных сетей для застройки восточной части Зашекснинского района</t>
  </si>
  <si>
    <t>102 02 15</t>
  </si>
  <si>
    <t>102 02 16</t>
  </si>
  <si>
    <t xml:space="preserve"> Больницы, клиники, госпитали, медико-санитарные части</t>
  </si>
  <si>
    <t xml:space="preserve">  Председатель представительного органа муниципального образования</t>
  </si>
  <si>
    <t xml:space="preserve">  Депутаты представительного органа муниципального образования</t>
  </si>
  <si>
    <t xml:space="preserve">               к решению Череповецкой</t>
  </si>
  <si>
    <t xml:space="preserve">               городской Думы</t>
  </si>
  <si>
    <t>Итого расходов</t>
  </si>
  <si>
    <t>522 05 00</t>
  </si>
  <si>
    <t xml:space="preserve">  Субсидии юридическим лицам</t>
  </si>
  <si>
    <t xml:space="preserve"> Оздоровление детей</t>
  </si>
  <si>
    <t>070 00 00</t>
  </si>
  <si>
    <t xml:space="preserve"> Резервные фонды</t>
  </si>
  <si>
    <t>001 40 00</t>
  </si>
  <si>
    <t xml:space="preserve"> Другие общегосударственные вопросы</t>
  </si>
  <si>
    <t>Национальная безопасность и правоохранительная деятельность</t>
  </si>
  <si>
    <t xml:space="preserve">  Осуществление отдельных государственных полномочий по 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Кодекса Вологодской области об административных правонарушениях (за счет субвенций)</t>
  </si>
  <si>
    <t xml:space="preserve">Осуществление отдельных государственных полномочий по созданию в муниципальных районах и городских округах области административных комиссий (за счет субвенций)  </t>
  </si>
  <si>
    <t xml:space="preserve">  Осуществление отдельных государственных полномочий в сфере архивного дела (за счет субвенций) 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</si>
  <si>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 (за счет субвенций)</t>
  </si>
  <si>
    <t>Обслуживание государственного и муниципального долга</t>
  </si>
  <si>
    <t xml:space="preserve">  Оплата жилищно-коммунальных услуг отдельным категориям граждан (за счет субвенций)</t>
  </si>
  <si>
    <t>Долгосрочная целевая программа "Безбарьерная среда" на 2010-2014 годы (за счет субсидий)</t>
  </si>
  <si>
    <t xml:space="preserve">  Обеспечение воспитания и обучения детей-инвалидов в дошкольных образовательных учреждениях в части выплаты заработной платы работникам дошкольных образовательных учреждений и расходов на учебно-наглядные пособия (за счет субвенций)</t>
  </si>
  <si>
    <t xml:space="preserve">  Выполнение отдельных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категорий, предусмотренных пунктами 1-8 части 1 статьи 2 закона области от 17 декабря 2007 года № 1719-ОЗ "О наделении органов местного самоуправления отдельными государственными полномочиями в сфере образования" (за счет субвенций)</t>
  </si>
  <si>
    <t xml:space="preserve">  Содержание и обучение детей с ограниченными возможностями здоровья, в том числе детей-сирот и детей, оставшихся без попечения родителей, за время их пребывания в соответствующем муниципальном специальном (коррекционном) образовательном учреждении для обучающихся, воспитанников с ограниченными возможностями здоровья (за счет субвенций)</t>
  </si>
  <si>
    <t xml:space="preserve">  Организация и проведение аттестации педагогических работников муниципальных образовательных учреждений на первую и вторую квалификационные категории (за счет субвенций)</t>
  </si>
  <si>
    <t xml:space="preserve">  Организация и осуществление деятельности по опеке и попечительству в отношении несовершеннолетних (за счет субвенций)</t>
  </si>
  <si>
    <t xml:space="preserve">  Другие вопросы в области национальной безопасности и правоохранительной деятельности</t>
  </si>
  <si>
    <t xml:space="preserve">  Муниципальная программа развития субъектов  малого и среднего предпринимательства в городе Череповце на 2009-2012 годы</t>
  </si>
  <si>
    <t xml:space="preserve">  Иные субсидии местным бюджетам для софинансирования расходных обязательств по исполнению полномочий органов  местного самоуправления по вопросам местного значения </t>
  </si>
  <si>
    <t xml:space="preserve">  Специальные (коррекционные) учреждения</t>
  </si>
  <si>
    <t>Шекснинский проспект на участке от Октябрьского пр. до ул. Рыбинской</t>
  </si>
  <si>
    <t xml:space="preserve">  Субсидии  на реализацию  долгосрочной целевой программы "Здоровое школьное питание на 2009-2015 годы"</t>
  </si>
  <si>
    <t xml:space="preserve">  Субвенции на осуществление отдельных государственных полномочий в сфере регулирования цен и тарифов</t>
  </si>
  <si>
    <t>Компенсация части родительской платы, взимаемой с родителей (законных представителей) за содержание детей в муниципальных образовательных учреждениях, реализующих основную общеобразовательную программу дошкольного образования (за счет субвенций)</t>
  </si>
  <si>
    <t>Содержание ребенка в семье опекуна и приемной семье, а также вознаграждение, причитающееся приемному родителю (за счет субвенций)</t>
  </si>
  <si>
    <t xml:space="preserve">  Предоставление субсидий на оплату жилого помещения и коммунальных услуг (за счет субвенций) </t>
  </si>
  <si>
    <t xml:space="preserve">   Строительство жилого дома № 30 в 106 мкр. (субсидии на капитальные вложения)</t>
  </si>
  <si>
    <t>485 00 00</t>
  </si>
  <si>
    <t>487 00 00</t>
  </si>
  <si>
    <t>525 06 00</t>
  </si>
  <si>
    <t>525 08 00</t>
  </si>
  <si>
    <t>525 05 00</t>
  </si>
  <si>
    <t>525 11 00</t>
  </si>
  <si>
    <t>525 13 00</t>
  </si>
  <si>
    <t>525 12 00</t>
  </si>
  <si>
    <t xml:space="preserve">  Строительство кладбища в районе д. Ивачево 2 очередь</t>
  </si>
  <si>
    <t xml:space="preserve">   Реконструкция здания  по улице Гоголя д.14 под детский сад (субсидии на капитальные вложения)</t>
  </si>
  <si>
    <t xml:space="preserve">   Реализация других функций, связанных с обеспечением национальной безопасности и правоохранительной деятельности</t>
  </si>
  <si>
    <t>247 00 00</t>
  </si>
  <si>
    <t>092 00 00</t>
  </si>
  <si>
    <t>795 00 00</t>
  </si>
  <si>
    <t>795 01 00</t>
  </si>
  <si>
    <t xml:space="preserve">  Другие вопросы в области национальной экономики</t>
  </si>
  <si>
    <t xml:space="preserve">   Выполнение функций органами местного самоуправления </t>
  </si>
  <si>
    <t xml:space="preserve"> Долгосрочные целевые программы</t>
  </si>
  <si>
    <t>795 01 03</t>
  </si>
  <si>
    <t xml:space="preserve">  Городские целевые программы</t>
  </si>
  <si>
    <t>795 01 02</t>
  </si>
  <si>
    <t xml:space="preserve"> Городские целевые программы</t>
  </si>
  <si>
    <t>"Безбарьерная среда" на 2011-2013 годы</t>
  </si>
  <si>
    <t>795 01 07</t>
  </si>
  <si>
    <t>795 01 01</t>
  </si>
  <si>
    <t>795 02 01</t>
  </si>
  <si>
    <t xml:space="preserve">  "Развитие инвестиционного потенциала города Череповца" на 2010-2015 годы</t>
  </si>
  <si>
    <t>795 01 06</t>
  </si>
  <si>
    <t>795 01 04</t>
  </si>
  <si>
    <t>440 01 00</t>
  </si>
  <si>
    <t xml:space="preserve">  Мероприятия в сфере культуры и кинематографии</t>
  </si>
  <si>
    <t xml:space="preserve">  Долгосрочная целевая программа противодействия коррупции в городе Череповце на 2011-2012 годы</t>
  </si>
  <si>
    <t>795 01 05</t>
  </si>
  <si>
    <t xml:space="preserve">   Выполнение функций государственными органами </t>
  </si>
  <si>
    <t xml:space="preserve"> Образование</t>
  </si>
  <si>
    <t>431 01 00</t>
  </si>
  <si>
    <t>431 00 00</t>
  </si>
  <si>
    <t>457 00 00</t>
  </si>
  <si>
    <t>457 99 00</t>
  </si>
  <si>
    <t>491 00 00</t>
  </si>
  <si>
    <t xml:space="preserve">   Доплаты к пенсиям государственных служащих субъектов Российской Федерации и муниципальных служащих</t>
  </si>
  <si>
    <t xml:space="preserve">   Доплаты к пенсиям, дополнительное пенсионное обеспечение</t>
  </si>
  <si>
    <t>491 01 00</t>
  </si>
  <si>
    <t xml:space="preserve"> Социальное обеспечение населения</t>
  </si>
  <si>
    <t>104 00 00</t>
  </si>
  <si>
    <t xml:space="preserve">   Подпрограмма "Обеспечение жильем молодых семей"</t>
  </si>
  <si>
    <t>104 02 00</t>
  </si>
  <si>
    <t xml:space="preserve">   Субсидии на обеспечение жильем </t>
  </si>
  <si>
    <t>505 00 00</t>
  </si>
  <si>
    <t>505 34 00</t>
  </si>
  <si>
    <t xml:space="preserve">  Долгосрочные целевые программы</t>
  </si>
  <si>
    <t>522 00 00</t>
  </si>
  <si>
    <t>522 23 00</t>
  </si>
  <si>
    <t xml:space="preserve">  Долгосрочные городские целевые программы</t>
  </si>
  <si>
    <t>002 11 00</t>
  </si>
  <si>
    <t>002 12 00</t>
  </si>
  <si>
    <t xml:space="preserve">   Поисковые и аварийно-спасательные учреждения</t>
  </si>
  <si>
    <t>302 99 00</t>
  </si>
  <si>
    <t>302 00 00</t>
  </si>
  <si>
    <t xml:space="preserve">   Обеспечение деятельности подведомственных учреждений</t>
  </si>
  <si>
    <t>Жилищно-коммунальное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</si>
  <si>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</si>
  <si>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</si>
  <si>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</si>
  <si>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</si>
  <si>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350 02 00</t>
  </si>
  <si>
    <t>350 00 00</t>
  </si>
  <si>
    <t>350 03 00</t>
  </si>
  <si>
    <t>350 04 00</t>
  </si>
  <si>
    <t>092 03 00</t>
  </si>
  <si>
    <t xml:space="preserve">05 </t>
  </si>
  <si>
    <t xml:space="preserve">  Бюджетные инвестиции </t>
  </si>
  <si>
    <t xml:space="preserve">  Благоустройство </t>
  </si>
  <si>
    <t>600 00 00</t>
  </si>
  <si>
    <t>600 01 00</t>
  </si>
  <si>
    <t xml:space="preserve">  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</si>
  <si>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</si>
  <si>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 xml:space="preserve">  Озеленение</t>
  </si>
  <si>
    <t>600 03 00</t>
  </si>
  <si>
    <t>600 04 00</t>
  </si>
  <si>
    <t>600 05 00</t>
  </si>
  <si>
    <t xml:space="preserve"> Другие вопросы в области жилищно-коммунального хозяйства</t>
  </si>
  <si>
    <t>Образование</t>
  </si>
  <si>
    <t>Социальная политика</t>
  </si>
  <si>
    <t xml:space="preserve">  Реализация государственных функций в области социальной политики</t>
  </si>
  <si>
    <t xml:space="preserve">   Мероприятия в области социальной политики</t>
  </si>
  <si>
    <t>514 00 00</t>
  </si>
  <si>
    <t>514 01 00</t>
  </si>
  <si>
    <t>Национальная экономика</t>
  </si>
  <si>
    <t xml:space="preserve"> Другие вопросы в области национальной экономики</t>
  </si>
  <si>
    <t>340 00 00</t>
  </si>
  <si>
    <t xml:space="preserve">  Капитальный ремонт многоквартирных домов, включенных в муниципальную программу "Энергосбережение и повышение энергетической эффективности на территории муниципального образования город Череповец на 2010-2014 годы" </t>
  </si>
  <si>
    <t>350 05 00</t>
  </si>
  <si>
    <t>485 97 01</t>
  </si>
  <si>
    <t>485 97 00</t>
  </si>
  <si>
    <t>522 06 00</t>
  </si>
  <si>
    <t>522 62 00</t>
  </si>
  <si>
    <t>522 21 00</t>
  </si>
  <si>
    <t>487 97 00</t>
  </si>
  <si>
    <t>487 97 01</t>
  </si>
  <si>
    <t>Спорт высших достижений</t>
  </si>
  <si>
    <t>522 55 00</t>
  </si>
  <si>
    <t xml:space="preserve"> 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(за счет субвенций)</t>
  </si>
  <si>
    <t>522 57 00</t>
  </si>
  <si>
    <t xml:space="preserve">  Мероприятия по землеустройству и землепользованию </t>
  </si>
  <si>
    <t>340 03 00</t>
  </si>
  <si>
    <t xml:space="preserve"> Дошкольное образование</t>
  </si>
  <si>
    <t>420 00 00</t>
  </si>
  <si>
    <t>420 99 00</t>
  </si>
  <si>
    <t>421 00 00</t>
  </si>
  <si>
    <t>421 99 00</t>
  </si>
  <si>
    <t>520 00 00</t>
  </si>
  <si>
    <t>423 00 00</t>
  </si>
  <si>
    <t>423 99 00</t>
  </si>
  <si>
    <t>424 00 00</t>
  </si>
  <si>
    <t>424 99 00</t>
  </si>
  <si>
    <t>433 00 00</t>
  </si>
  <si>
    <t>433 99 00</t>
  </si>
  <si>
    <t>443</t>
  </si>
  <si>
    <t xml:space="preserve">  Возмещение  затрат на содержание незаселенных жилых помещений муниципального жилищного фонда и коммунальные услуги </t>
  </si>
  <si>
    <t>009</t>
  </si>
  <si>
    <t>525 01 07</t>
  </si>
  <si>
    <t>436 12 02</t>
  </si>
  <si>
    <t>436 12 00</t>
  </si>
  <si>
    <t>436 00 00</t>
  </si>
  <si>
    <t>Мероприятия в области образования</t>
  </si>
  <si>
    <t>436 12 01</t>
  </si>
  <si>
    <t>522 34 00</t>
  </si>
  <si>
    <t>525 01 04</t>
  </si>
  <si>
    <t>525 01 05</t>
  </si>
  <si>
    <t>525 01 02</t>
  </si>
  <si>
    <t xml:space="preserve">от 07.12.2010 № 203  </t>
  </si>
  <si>
    <t xml:space="preserve">от 07.12.2010 № 203 </t>
  </si>
  <si>
    <t xml:space="preserve">                                от 07.12.2010 № 203 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</si>
  <si>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</si>
  <si>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 Учреждения по внешкольной работе с детьми</t>
  </si>
  <si>
    <t xml:space="preserve"> Детские дома</t>
  </si>
  <si>
    <t xml:space="preserve">  Мероприятия в области здравоохранения, спорта и физической культуры, туризма</t>
  </si>
  <si>
    <t xml:space="preserve">  Прочие мероприятия по благоустройству городских округов и поселений</t>
  </si>
  <si>
    <t xml:space="preserve">  Уличное освещение</t>
  </si>
  <si>
    <t>СОЦИАЛЬНАЯ ПОЛИТИКА</t>
  </si>
  <si>
    <t>10</t>
  </si>
  <si>
    <t>Другие вопросы в области социальной политики</t>
  </si>
  <si>
    <t>432 00 00</t>
  </si>
  <si>
    <t>302 95 00</t>
  </si>
  <si>
    <t xml:space="preserve">   Уплата налога на имущество организаций и земельного налога</t>
  </si>
  <si>
    <t>420 95 00</t>
  </si>
  <si>
    <t>421 95 00</t>
  </si>
  <si>
    <t>423 95 00</t>
  </si>
  <si>
    <t>452 95 00</t>
  </si>
  <si>
    <t>470 95 00</t>
  </si>
  <si>
    <t>471 95 00</t>
  </si>
  <si>
    <t>474 95 00</t>
  </si>
  <si>
    <t>469 95 00</t>
  </si>
  <si>
    <t>440 95 00</t>
  </si>
  <si>
    <t>441 95 00</t>
  </si>
  <si>
    <t>тыс.рублей</t>
  </si>
  <si>
    <t>13</t>
  </si>
  <si>
    <t xml:space="preserve">ЗДРАВООХРАНЕНИЕ </t>
  </si>
  <si>
    <t>Другие вопросы в области здравоохранения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</si>
  <si>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</si>
  <si>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</si>
  <si>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</si>
  <si>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</si>
  <si>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</si>
  <si>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 xml:space="preserve">КУЛЬТУРА И КИНЕМАТОГРАФИЯ </t>
  </si>
  <si>
    <t>КУЛЬТУРА И КИНЕМАТОГРАФИЯ</t>
  </si>
  <si>
    <r>
      <t xml:space="preserve">   Субсидии на обеспечение молоком</t>
    </r>
    <r>
      <rPr>
        <sz val="13"/>
        <rFont val="Times New Roman"/>
        <family val="1"/>
      </rPr>
      <t xml:space="preserve"> школьников (обуч</t>
    </r>
    <r>
      <rPr>
        <sz val="13"/>
        <rFont val="Times New Roman"/>
        <family val="1"/>
      </rPr>
      <t xml:space="preserve">ающихся) 1-4 классов в рамках реализации долгосрочной целевой программы "Демографическое развитие Вологодской области" на 2009, 2010 годы
</t>
    </r>
  </si>
  <si>
    <r>
      <t xml:space="preserve">   Субсидии на обеспечение молоком</t>
    </r>
    <r>
      <rPr>
        <sz val="13"/>
        <rFont val="Times New Roman"/>
        <family val="1"/>
      </rPr>
      <t xml:space="preserve"> школьников </t>
    </r>
    <r>
      <rPr>
        <sz val="13"/>
        <rFont val="Times New Roman"/>
        <family val="1"/>
      </rPr>
      <t xml:space="preserve">(обучающихся) 1-4 классов в рамках реализации долгосрочной целевой программы "Демографическое развитие Вологодской области" на 2009, 2010 годы
</t>
    </r>
  </si>
  <si>
    <t>442 95 00</t>
  </si>
  <si>
    <t>443 95 00</t>
  </si>
  <si>
    <t xml:space="preserve">    Мероприятия в сфере образования</t>
  </si>
  <si>
    <t xml:space="preserve">   Мероприятия в сфере образования</t>
  </si>
  <si>
    <t xml:space="preserve">    Мероприятия в области социальной политики</t>
  </si>
  <si>
    <t xml:space="preserve">    Природоохранные мероприятия</t>
  </si>
  <si>
    <t>457 95 00</t>
  </si>
  <si>
    <t>014</t>
  </si>
  <si>
    <t xml:space="preserve">  Организация и содержание мест захоронения</t>
  </si>
  <si>
    <t>07</t>
  </si>
  <si>
    <t>12</t>
  </si>
  <si>
    <t>202 58 00</t>
  </si>
  <si>
    <t>202 67 00</t>
  </si>
  <si>
    <t>202 72 00</t>
  </si>
  <si>
    <t>202 76 00</t>
  </si>
  <si>
    <t xml:space="preserve">  Резервные фонды мэрии города</t>
  </si>
  <si>
    <t>070 05 00</t>
  </si>
  <si>
    <t>432 02 00</t>
  </si>
  <si>
    <t xml:space="preserve"> Обеспечение проведения выборов и референдумов</t>
  </si>
  <si>
    <t xml:space="preserve">  Социальные выплаты</t>
  </si>
  <si>
    <t xml:space="preserve">  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 (умерших) инвалидов войны - участников Великой Отечественной войны, инвалидов и семей, имеющих детей-инвалидов</t>
  </si>
  <si>
    <t>505 34 02</t>
  </si>
  <si>
    <t xml:space="preserve"> Субсидии на реализацию долгосрочной целевой программы "Пожарная безопасность учреждений здравоохранения" на 2009-2012 годы</t>
  </si>
  <si>
    <t>102 02 22</t>
  </si>
  <si>
    <t xml:space="preserve">  Строительство детского сада  № 35 в 105 мкр.</t>
  </si>
  <si>
    <t xml:space="preserve">   Реконструкция МОУ "Средняя общеобразовательная школа № 9 с углубленным изучением отдельных предметов" под детский сад № 114 (пр.Победы, 196)</t>
  </si>
  <si>
    <t xml:space="preserve"> Субсидии на реализацию долгосрочной целевой программы "Пожарная безопасность учреждений культуры" на 2009-2011 годы</t>
  </si>
  <si>
    <t>ППП</t>
  </si>
  <si>
    <t>429 00 00</t>
  </si>
  <si>
    <t xml:space="preserve">  Учебные заведения и курсы по переподготовке кадров</t>
  </si>
  <si>
    <t>429 99 00</t>
  </si>
  <si>
    <t>429 95 00</t>
  </si>
  <si>
    <t xml:space="preserve">07 </t>
  </si>
  <si>
    <t>452 00 00</t>
  </si>
  <si>
    <t>452 99 00</t>
  </si>
  <si>
    <t>795 02 00</t>
  </si>
  <si>
    <t xml:space="preserve"> Мероприятия в сфере культуры</t>
  </si>
  <si>
    <t>013</t>
  </si>
  <si>
    <t xml:space="preserve">  Прочие расходы</t>
  </si>
  <si>
    <t xml:space="preserve"> Родильные дома</t>
  </si>
  <si>
    <t>0980101</t>
  </si>
  <si>
    <t xml:space="preserve">  Обеспечение деятельности подведомственных учреждений</t>
  </si>
  <si>
    <t xml:space="preserve">   Социальные выплаты </t>
  </si>
  <si>
    <t xml:space="preserve">  Субсидии  юридическим лицам </t>
  </si>
  <si>
    <t xml:space="preserve"> Стационарная медицинская помощь</t>
  </si>
  <si>
    <t>14</t>
  </si>
  <si>
    <t>001</t>
  </si>
  <si>
    <t>Профессиональная подготовка, переподготовка и повышение квалификации</t>
  </si>
  <si>
    <t>092 99 00</t>
  </si>
  <si>
    <t>00</t>
  </si>
  <si>
    <t xml:space="preserve">  Субсидии на обеспечение мероприятий по капитальному ремонту многоквартирных домов за счет безвозмездных поступлений от государственной корпорации "Фонд содействия реформированию жилищно-коммунального хозяйства"</t>
  </si>
  <si>
    <t xml:space="preserve">  Федеральная целевая программа «Жилище» на 2002-2010 годы (второй этап)</t>
  </si>
  <si>
    <t>621</t>
  </si>
  <si>
    <t xml:space="preserve">   Субсидии автономным учреждениям на возмещение нормативных затрат, связанных с оказанием ими государственных (муниципальных) услуг (выполнением работ)</t>
  </si>
  <si>
    <t xml:space="preserve">    МОУДОД ДЮСШ "Центр боевых искусств"</t>
  </si>
  <si>
    <t>МУК "Городское объединение парков"</t>
  </si>
  <si>
    <t xml:space="preserve">   МОУ "Общеобразовательный лицей  "АМТЭК"</t>
  </si>
  <si>
    <t xml:space="preserve">  МСВОУ "Центр образования"</t>
  </si>
  <si>
    <t xml:space="preserve">  МУК "Камерный театр</t>
  </si>
  <si>
    <t xml:space="preserve">   Субсидии автономным учреждениям на иные цели</t>
  </si>
  <si>
    <t>622</t>
  </si>
  <si>
    <t xml:space="preserve">  Центральный аппарат</t>
  </si>
  <si>
    <t xml:space="preserve">  Реализация других функций, связанных с обеспечением национальной безопасности и правоохранительной деятельности</t>
  </si>
  <si>
    <t xml:space="preserve">   Жилой дом № 25 в 115 мкр.(субсидии на капитальные вложения)</t>
  </si>
  <si>
    <t xml:space="preserve">   Набережная от Октябрьского моста до мостового перехода через реку Ягорба (субсидии на капитальные вложения)</t>
  </si>
  <si>
    <t xml:space="preserve">  Уплата налога на имущество организаций и земельного налога</t>
  </si>
  <si>
    <t xml:space="preserve">  Проведение мероприятий для детей и молодежи</t>
  </si>
  <si>
    <t xml:space="preserve">  "Здоровый город" на 2009-2012 годы</t>
  </si>
  <si>
    <t>510 03 00</t>
  </si>
  <si>
    <t xml:space="preserve"> Субсидии на реализацию дополнительных мероприятий, направленных на снижение напряженности на рынке труда субъектов Российской Федерации</t>
  </si>
  <si>
    <t xml:space="preserve"> Субсидии на реализацию целевой программы дополнительных мероприятий, направленных на снижение напряженности на рынке труда Вологодской области, в 2010 году</t>
  </si>
  <si>
    <t>Субсидии на реализацию целевой программы дополнительных мероприятий, направленных на снижение напряженности на рынке труда Вологодской области, в 2010 году</t>
  </si>
  <si>
    <t xml:space="preserve">  Субсидии на реализацию дополнительных мероприятий, направленных на снижение напряженности на рынке труда субъектов Российской Федерации</t>
  </si>
  <si>
    <t>522 31 00</t>
  </si>
  <si>
    <t xml:space="preserve"> 07 </t>
  </si>
  <si>
    <t xml:space="preserve">   Закольцовка системы газоснабжения Зашекснинского района (субсидии на капитальные вложения)</t>
  </si>
  <si>
    <t xml:space="preserve"> Питание школьников (за счет субсидий)</t>
  </si>
  <si>
    <t xml:space="preserve"> Обеспечение молоком школьников (обучающихся) 1-4 классов (за счет субсидий)</t>
  </si>
  <si>
    <t xml:space="preserve">  Обеспечениие мероприятий по восстановительному лечению работающих граждан после оказания им стационарной помощи (за счет субсидий)</t>
  </si>
  <si>
    <t xml:space="preserve">  Организация и осуществление деятельности по опеке и попечительству в отношении совершеннолетних граждан, нуждающихся в опеке или попечительстве (за счет субвенций)</t>
  </si>
  <si>
    <t>УПРАВЛЕНИЕ ПО ДЕЛАМ КУЛЬТУРЫ МЭРИИ ГОРОДА</t>
  </si>
  <si>
    <t xml:space="preserve">  Субвенции на осуществление полномочий по подготовке проведения статистических переписей</t>
  </si>
  <si>
    <t xml:space="preserve">   Мероприятия в области здравоохранения, спорта и физической культуры, туризма</t>
  </si>
  <si>
    <t xml:space="preserve"> Мероприятия в области здравоохранения, спорта и физической культуры, туризма </t>
  </si>
  <si>
    <t xml:space="preserve">  Глава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</si>
  <si>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</si>
  <si>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</si>
  <si>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 xml:space="preserve"> Судебная система</t>
  </si>
  <si>
    <t>Сумма (тыс.рублей)</t>
  </si>
  <si>
    <t xml:space="preserve">городского бюджета по разделам, подразделам функциональной классификации </t>
  </si>
  <si>
    <t xml:space="preserve">  </t>
  </si>
  <si>
    <t xml:space="preserve">                РАСХОДЫ                                                                                                                                                    </t>
  </si>
  <si>
    <t xml:space="preserve"> Обеспечение деятельности финансовых, налоговых и таможенных органов и органов финансового (финансово-бюджетного) надзора </t>
  </si>
  <si>
    <t xml:space="preserve">               Приложение 12</t>
  </si>
  <si>
    <t>Приложение 14</t>
  </si>
  <si>
    <t xml:space="preserve">РАСХОДЫ </t>
  </si>
  <si>
    <t>на плановый период 2012 и 2013 годов</t>
  </si>
  <si>
    <t xml:space="preserve">городского бюджета по разделам, подразделам, целевым статьям и видам расходов </t>
  </si>
  <si>
    <t>функциональной классификации на плановый период 2012 и 2013 годов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</si>
  <si>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</si>
  <si>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Приложение 16</t>
  </si>
  <si>
    <t xml:space="preserve">городского бюджета по разделам, подразделам, целевым статьям и видам расходов в ведомственной структуре расходов </t>
  </si>
  <si>
    <t xml:space="preserve">   Выполнение функций государственными органами</t>
  </si>
  <si>
    <t xml:space="preserve">  Проведение выборов и референдумов </t>
  </si>
  <si>
    <t xml:space="preserve">  Резервные фонды</t>
  </si>
  <si>
    <t xml:space="preserve">  Руководство и управление в сфере установленных функций</t>
  </si>
  <si>
    <t xml:space="preserve">  Оценка недвижимости, признание прав и регулирование отношений по государственной  и муниципальной собственности</t>
  </si>
  <si>
    <t xml:space="preserve">   Выполнение других обязательств органов местного самоуправления</t>
  </si>
  <si>
    <t xml:space="preserve">  Субсидии некоммерческим организациям</t>
  </si>
  <si>
    <t xml:space="preserve">  Дворцы и дома культуры, другие учреждения культуры и средства массовой информации</t>
  </si>
  <si>
    <t xml:space="preserve">  Осуществление отдельных государственных полномочий</t>
  </si>
  <si>
    <t xml:space="preserve">  Субвенции на осуществление отдельных государственных полномочий по созданию в муниципальных районах и городских округах области комиссии по делам несовершеннолетних и защите их прав  </t>
  </si>
  <si>
    <t xml:space="preserve">  Субвенции на осуществление отдельных государственных полномочий по созданию в муниципальных районах и городских округах области административных комиссий  </t>
  </si>
  <si>
    <t xml:space="preserve">  Субвенции на осуществление отдельных государственных полномочий по 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Кодекса Вологодской области об административных правонарушениях</t>
  </si>
  <si>
    <t xml:space="preserve"> Органы внутренних дел</t>
  </si>
  <si>
    <t xml:space="preserve">  Вещевое обеспечение</t>
  </si>
  <si>
    <t xml:space="preserve">  Пособия и компенсации военнослужащим,  приравненным к ним лицам, а также уволенным из их числа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</si>
  <si>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</si>
  <si>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 xml:space="preserve">  Поисковые и аварийно-спасательные учреждения</t>
  </si>
  <si>
    <t xml:space="preserve"> Общеэкономические вопросы</t>
  </si>
  <si>
    <t xml:space="preserve"> Связь и информатика</t>
  </si>
  <si>
    <t xml:space="preserve">  Информационные технологии и связь</t>
  </si>
  <si>
    <t xml:space="preserve">  Бюджетные инвестиции в объекты капитального строительства, не включенные в целевые программы</t>
  </si>
  <si>
    <t xml:space="preserve"> Учреждения культуры и мероприятия в сфере культуры и кинематографии</t>
  </si>
  <si>
    <t xml:space="preserve">  Строительство объектов сметной стоимостью до 100 млн. руб.</t>
  </si>
  <si>
    <t xml:space="preserve">  Реализация государственных функций в области  национальной экономики</t>
  </si>
  <si>
    <t xml:space="preserve">   Субсидии некоммерческим организациям</t>
  </si>
  <si>
    <t xml:space="preserve">  Обеспечение мероприятий по капитальному ремонту многоквартирных домов и переселению граждан из ветхого и аварийного жилищного фонда</t>
  </si>
  <si>
    <t xml:space="preserve">  Обеспечение мероприятий по капитальному ремонту многоквартирных домов и переселению граждан из ветхого и аварийного жилищного фонда за счет средств бюджетов</t>
  </si>
  <si>
    <t xml:space="preserve">   Субсидии  юридическим лицам </t>
  </si>
  <si>
    <t xml:space="preserve">  Поддержка жилищного хозяйства</t>
  </si>
  <si>
    <t xml:space="preserve"> Коммунальное хозяйство</t>
  </si>
  <si>
    <t xml:space="preserve">  Строительство объектов сметной стоимостью до 100 млн. рублей</t>
  </si>
  <si>
    <t xml:space="preserve">  Поддержка коммунального хозяйства</t>
  </si>
  <si>
    <t xml:space="preserve"> Благоустройство</t>
  </si>
  <si>
    <t xml:space="preserve">  Строительство улицы Раахе (от Октябрьского пр. до ул.Рыбинской) на участке от Октябрьского пр. до ул. Годовикова</t>
  </si>
  <si>
    <t xml:space="preserve">  Реконструкция мостового перехода через реку Ягорбу по пр.Победы </t>
  </si>
  <si>
    <t xml:space="preserve">   Бюджетные инвестиции </t>
  </si>
  <si>
    <t xml:space="preserve"> Охрана объектов растительного и животного мира и среды их обитания</t>
  </si>
  <si>
    <t xml:space="preserve"> Другие вопросы в области охраны окружающей среды</t>
  </si>
  <si>
    <t xml:space="preserve">  Детские дошкольные учреждения</t>
  </si>
  <si>
    <t xml:space="preserve">  Осуществление отдельных государственных полномочий в сфере образования </t>
  </si>
  <si>
    <t xml:space="preserve"> Общее образование</t>
  </si>
  <si>
    <t xml:space="preserve">  Школы-детские сады, школы начальные, неполные средние и средние</t>
  </si>
  <si>
    <t xml:space="preserve">  Детские дома</t>
  </si>
  <si>
    <t xml:space="preserve">  Мероприятия в области образования</t>
  </si>
  <si>
    <t xml:space="preserve">  Совершенствование организации питания учащихся в общеобразовательных учреждениях</t>
  </si>
  <si>
    <t xml:space="preserve">  Организационно-воспитательная работа с молодежью</t>
  </si>
  <si>
    <t xml:space="preserve">  Мероприятия по проведению оздоровительной кампании детей</t>
  </si>
  <si>
    <t xml:space="preserve">  Оздоровление детей</t>
  </si>
  <si>
    <t xml:space="preserve">   Субсидии юридическим лицам</t>
  </si>
  <si>
    <t xml:space="preserve"> Другие вопросы в области образования</t>
  </si>
  <si>
    <t xml:space="preserve">  Реконструкция МОУ "Средняя общеобразовательная школа № 9 с углубленным изучением отдельных предметов" под детский сад № 114 (пр.Победы, 196)</t>
  </si>
  <si>
    <t xml:space="preserve">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</si>
  <si>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"Одаренные дети" на 2011-2013 годы</t>
  </si>
  <si>
    <t xml:space="preserve"> Культура</t>
  </si>
  <si>
    <t xml:space="preserve">  Музеи и постоянные выставки</t>
  </si>
  <si>
    <t xml:space="preserve">  Библиотеки</t>
  </si>
  <si>
    <t xml:space="preserve">  Театры, цирки, концертные и другие организации исполнительских искусств</t>
  </si>
  <si>
    <t xml:space="preserve">  Мероприятия в сфере культуры, кинематографии и средств массовой информации</t>
  </si>
  <si>
    <t xml:space="preserve">  Государственная поддержка в сфере культуры, кинематографии, средств массовой информации</t>
  </si>
  <si>
    <t xml:space="preserve">   Мероприятия в сфере культуры</t>
  </si>
  <si>
    <t xml:space="preserve">  Субсидии на реализацию долгосрочной целевой программы "Пожарная безопасность учреждений культуры" на 2009-2011 годы</t>
  </si>
  <si>
    <t xml:space="preserve">  Субсидии на реализацию долгосрочной целевой программы "Развитие библиотечного дела в Вологодской области на 2009-2011 годы"</t>
  </si>
  <si>
    <t xml:space="preserve"> Другие вопросы в области культуры, кинематографии </t>
  </si>
  <si>
    <t xml:space="preserve">  Больницы, клиники, госпитали, медико-санитарные части</t>
  </si>
  <si>
    <t xml:space="preserve">  Родильные дома</t>
  </si>
  <si>
    <t xml:space="preserve"> Амбулаторная помощь</t>
  </si>
  <si>
    <t xml:space="preserve">  Поликлиники, амбулатории, диагностические центры</t>
  </si>
  <si>
    <t xml:space="preserve"> Медицинская помощь в дневных стационарах всех типов</t>
  </si>
  <si>
    <t xml:space="preserve"> Скорая медицинская помощь </t>
  </si>
  <si>
    <t xml:space="preserve">  Станции скорой и неотложной  помощи</t>
  </si>
  <si>
    <t xml:space="preserve">  Иные безвозмездные и безвозвратные перечисления</t>
  </si>
  <si>
    <t xml:space="preserve"> Санаторно-оздоровительная помощь</t>
  </si>
  <si>
    <t xml:space="preserve">  Санатории для детей и подростков</t>
  </si>
  <si>
    <t xml:space="preserve"> Другие вопросы в области здравоохранения</t>
  </si>
  <si>
    <t xml:space="preserve">  Учреждения, обеспечивающие предоставление услуг в сфере здравоохранения</t>
  </si>
  <si>
    <t xml:space="preserve">  Реализация государственных функций в области здравоохранения</t>
  </si>
  <si>
    <t xml:space="preserve">  Долгосрочная целевая программа "Энергосбережение и повышение энергетической эффективности на территории Вологодской области на 2010-2015 годы и на перспективу до 2020 года" (за счет субсидий)</t>
  </si>
  <si>
    <t xml:space="preserve">  Капитальные вложения в рамках реализации долгосрочной целевой программы "Инвестиции в объекты капитального строительства на 2010-2013 годы и на перспективу до 2020 года" (за счет субсидий)</t>
  </si>
  <si>
    <t xml:space="preserve">  Долгосрочная целевая программа "Организация отдыха детей, их оздоровления и занятости в Вологодской области на 2009-2014 годы" (за счет субсидий)</t>
  </si>
  <si>
    <t xml:space="preserve">  Долгосрочная целевая программа "Эффективная и безопасная лучевая диагностика" на 2010-2012 годы (за счет субсидий) </t>
  </si>
  <si>
    <t xml:space="preserve">  Долгсрочная целевая программа "Энергосбережение и повышение энергетической эффективности на территории Вологодской области на 2010-2015 годы и на перспективу до 2020 года" (за счет субсидий)</t>
  </si>
  <si>
    <t xml:space="preserve"> Долгосрочная целевая программа "Организация отдыха детей, их оздоровления и занятости в Вологодской области на 2009-2014 годы" (за счет субсидий)</t>
  </si>
  <si>
    <t xml:space="preserve">  Прочие мероприятия в области здравоохранения</t>
  </si>
  <si>
    <t xml:space="preserve"> Пенсионное  обеспечение</t>
  </si>
  <si>
    <t xml:space="preserve">  Доплаты к пенсиям, дополнительное пенсионное обеспечение</t>
  </si>
  <si>
    <t xml:space="preserve">  Доплаты к пенсиям государственных служащих субъектов Российской Федерации и муниципальных служащих</t>
  </si>
  <si>
    <t xml:space="preserve">   Социальные выплаты</t>
  </si>
  <si>
    <t xml:space="preserve">  Социальная помощь</t>
  </si>
  <si>
    <t xml:space="preserve">   Мероприятия в области социальной политики  </t>
  </si>
  <si>
    <t xml:space="preserve">    Выполнение функций органами местного самоуправления </t>
  </si>
  <si>
    <t xml:space="preserve"> Осуществление отдельных государственных полномочий по созданию в муниципальных районах и городских округах области административных комиссий (за счет субвенций)  </t>
  </si>
  <si>
    <t xml:space="preserve">  Составление (изменение и дополнение) списков кандидатов в присяжные заседатели федеральных судов общей юрисдикции в Российской Федерации (за счет субвенций)</t>
  </si>
  <si>
    <t xml:space="preserve">    Субсидии некоммерческим организациям</t>
  </si>
  <si>
    <t xml:space="preserve">    Социальные выплаты</t>
  </si>
  <si>
    <t xml:space="preserve">    Социальные выплаты </t>
  </si>
  <si>
    <t xml:space="preserve">  Долгосрочная целевая программа "Безбарьерная среда" на 2010-2014 годы  (за счет субсидий)</t>
  </si>
  <si>
    <t xml:space="preserve">  Реализация государственных функций в области национальной экономики</t>
  </si>
  <si>
    <t xml:space="preserve">     Выполнение функций бюджетными учреждениями</t>
  </si>
  <si>
    <t xml:space="preserve">  Дошкольное образование</t>
  </si>
  <si>
    <t xml:space="preserve">   Детские дошкольные учреждения</t>
  </si>
  <si>
    <t xml:space="preserve"> Осуществление отдельных государственных полномочий</t>
  </si>
  <si>
    <t xml:space="preserve"> Осуществление отдельных государственных полномочий в сфере образования </t>
  </si>
  <si>
    <t xml:space="preserve">   Осуществление отдельных государственных полномочий</t>
  </si>
  <si>
    <t xml:space="preserve">   Осуществление отдельных государственных полномочий в сфере образования </t>
  </si>
  <si>
    <t xml:space="preserve">    Обеспечение воспитания и обучения детей-инвалидов в дошкольных образовательных учреждениях в части выплаты заработной платы работникам дошкольных образовательных учреждений и расходов на учебно-наглядные пособия (за счет субвенций)</t>
  </si>
  <si>
    <t xml:space="preserve">  Питание школьников (за счет субсидий)</t>
  </si>
  <si>
    <t xml:space="preserve">  Выполнение отдельных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категорий, предусмотренных пунктами 1-8 части 1 статьи 2 закона области от 17 декабря 2007 года                              № 1719-ОЗ "О наделении органов местного самоуправления отдельными государственными полномочиями в сфере образования" (за счет субвенций)</t>
  </si>
  <si>
    <t xml:space="preserve">  Выполнение отдельных государственных полномочий по обеспечению мер социальной поддержки и социального обслуживания отдельных категорий граждан, указанных в статье 2 закона области от 17 декабря 2007 года                               № 1718-ОЗ "О наделении органов местного самоуправления отдельными государственными полномочиями в сфере труда и социальной защиты населения области", (за исключением полномочий, указанных в части 2 и пункте 8 части 6 статьи 2)" (за счет субвенций)</t>
  </si>
  <si>
    <t xml:space="preserve">   Выполнение отдельных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категорий, предусмотренных пунктами 1-8 части 1 статьи 2 закона области от 17 декабря 2007 года                               № 1719-ОЗ "О наделении органов местного самоуправления отдельными государственными полномочиями в сфере образования" (за счет субвенций)</t>
  </si>
  <si>
    <t xml:space="preserve">  Выполнение отдельных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категорий, предусмотренных пунктами 1-8 части 1 статьи 2 закона области от 17 декабря 2007 года                               № 1719-ОЗ "О наделении органов местного самоуправления отдельными государственными полномочиями в сфере образования" (за счет субвенций)</t>
  </si>
  <si>
    <t xml:space="preserve">  Выполнение отдельных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категорий, предусмотренных пунктами 1-8 части 1 статьи 2 закона области от 17 декабря 2007 года                                           № 1719-ОЗ "О наделении органов местного самоуправления отдельными государственными полномочиями в сфере образования" (за счет субвенций)</t>
  </si>
  <si>
    <t xml:space="preserve">  Осуществление отдельных государственных полномочий в сфере  образования </t>
  </si>
  <si>
    <t xml:space="preserve">  Организация и осуществление деятельности по опеке и попечительству в  отношении несовершеннолетних (за счет субвенций)</t>
  </si>
  <si>
    <t xml:space="preserve">   Ведомственные целевые программы </t>
  </si>
  <si>
    <t xml:space="preserve">  Компенсация части родительской платы, взимаемой с родителей (законных представителей) за содержание детей в муниципальных образовательных учреждениях, реализующих основную общеобразовательную программу дошкольного образования (за счет субвенций)</t>
  </si>
  <si>
    <t xml:space="preserve">  Содержание ребенка в семье опекуна и приемной семье, а также вознаграждение, причитающееся приемному родителю (за счет субвенций)</t>
  </si>
  <si>
    <t xml:space="preserve">     Фонд компенсаций (за счет субвенций)</t>
  </si>
  <si>
    <t xml:space="preserve">   Фонд компенсаций (за счет субвенций)</t>
  </si>
  <si>
    <t xml:space="preserve"> Здравоохранение </t>
  </si>
  <si>
    <t xml:space="preserve">  Стационарная медицинская помощь</t>
  </si>
  <si>
    <t xml:space="preserve">  Денежные выплаты медицинскому персоналу фельдшерско-акушерских пунктов, врачам, фельдшерам и медицинским сестрам скорой медицинской помощи (за счет субсидий)</t>
  </si>
  <si>
    <t xml:space="preserve">   Санатории для детей и подростков</t>
  </si>
  <si>
    <t xml:space="preserve">  Учреждения культуры и мероприятия в сфере культуры и кинематографии</t>
  </si>
  <si>
    <t xml:space="preserve"> Долгосрочная целевая программа "Безбарьерная среда" на 2010-2014 годы (за счет субсидий)</t>
  </si>
  <si>
    <t xml:space="preserve">  "Безбарьерная среда" на 2011-2013 годы</t>
  </si>
  <si>
    <t xml:space="preserve">  Субсидии на реализацию долгосрочной целевой программы "Обеспечение жильем молодых семей в Вологодской области  на 2009-2011 годы"</t>
  </si>
  <si>
    <t xml:space="preserve"> Другие вопросы в области социальной политики</t>
  </si>
  <si>
    <t xml:space="preserve"> "Здоровый город" на 2009-2015 годы</t>
  </si>
  <si>
    <t xml:space="preserve"> "Безбарьерная среда" на 2011-2013 годы</t>
  </si>
  <si>
    <t xml:space="preserve"> Физическая культура</t>
  </si>
  <si>
    <t xml:space="preserve">  Физкультурно-оздоровительная работа и спортивные мероприятия</t>
  </si>
  <si>
    <t xml:space="preserve">  Мероприятия в области здравоохранения, спорта и физической культуры, туризма </t>
  </si>
  <si>
    <t xml:space="preserve">   Долгосрочные городские целевые программы</t>
  </si>
  <si>
    <t xml:space="preserve">    Мероприятия в области здравоохранения, спорта и физической культуры, туризма</t>
  </si>
  <si>
    <t xml:space="preserve">  "Спортивный город" на 2009-2011 годы</t>
  </si>
  <si>
    <t xml:space="preserve"> Массовый спорт</t>
  </si>
  <si>
    <t xml:space="preserve"> Спорт высших достижений</t>
  </si>
  <si>
    <t xml:space="preserve">  Реализация государственных функций в области физической культуры и спорта</t>
  </si>
  <si>
    <t xml:space="preserve">  Мероприятия в области спорта и физической культуры</t>
  </si>
  <si>
    <t xml:space="preserve"> Другие вопросы в области физической культуры и спорта</t>
  </si>
  <si>
    <t xml:space="preserve"> Периодическая печать и издательства</t>
  </si>
  <si>
    <t xml:space="preserve">  Периодические издания, учрежденные органами местного самоуправления</t>
  </si>
  <si>
    <t xml:space="preserve"> Обслуживание внутреннего государственного и муниципального долга </t>
  </si>
  <si>
    <t xml:space="preserve">  Процентные платежи по долговым обязательствам</t>
  </si>
  <si>
    <t xml:space="preserve"> Культура </t>
  </si>
  <si>
    <t xml:space="preserve"> Пенсионное обеспечение</t>
  </si>
  <si>
    <t xml:space="preserve"> Охрана семьи и детства</t>
  </si>
  <si>
    <t xml:space="preserve"> Обслуживание внутреннего государственного и муниципального долга</t>
  </si>
  <si>
    <t xml:space="preserve">  Осуществление полномочий органами местного самоуправления в области содействия занятости населения</t>
  </si>
  <si>
    <t xml:space="preserve">   Информационные технологии и связь</t>
  </si>
  <si>
    <t xml:space="preserve"> Переодическая печать и издательства</t>
  </si>
  <si>
    <t xml:space="preserve">  Строительство объектов общегражданского назначения</t>
  </si>
  <si>
    <t xml:space="preserve">   Строительство объектов сметной стоимостью до 100 млн. руб.</t>
  </si>
  <si>
    <t xml:space="preserve">    Закольцовка системы газоснабжения  Зашекснинского района </t>
  </si>
  <si>
    <t xml:space="preserve">  Строительство магистральных сетей для застройки Зашекснинского района (112 мкр.)</t>
  </si>
  <si>
    <t xml:space="preserve">  Общеэкономические вопросы</t>
  </si>
  <si>
    <t>510 00 00</t>
  </si>
  <si>
    <t xml:space="preserve">  Реализация государственной политики занятости населения</t>
  </si>
  <si>
    <t>510 02 00</t>
  </si>
  <si>
    <t xml:space="preserve"> Осуществление полномочий органами местного самоуправления в области содействия занятости населения</t>
  </si>
  <si>
    <t xml:space="preserve">    Реконструкция мостового перехода через р. Ягорбу по пр. Победы (субсидии на капитальные вложения)</t>
  </si>
  <si>
    <t xml:space="preserve">   Транспортная развязка Октябрьский мост - ул. Раахе (субсидии на капитальные вложения)</t>
  </si>
  <si>
    <t xml:space="preserve">    Реконструкция путепровода через пр. Победы в районе ул. Судостроительной (проектно-сметная документация) (субсидии на капитальные вложения)</t>
  </si>
  <si>
    <t xml:space="preserve">   "Экология города" на 2009-2015 годы</t>
  </si>
  <si>
    <t xml:space="preserve">  Специальные (коррекционные)  учреждения</t>
  </si>
  <si>
    <t xml:space="preserve"> Субсидии некоммерческим организациям в области жилищно-коммунального хозяйства</t>
  </si>
  <si>
    <t xml:space="preserve">   Субсидии некоммерческим организациям
</t>
  </si>
  <si>
    <t xml:space="preserve">   Строительство детского сада  № 21 в 112 мкр. (субсидии на капитальные вложения)</t>
  </si>
  <si>
    <t xml:space="preserve">  Субсидии  на реализацию долгосрочной целевой программы "Здоровое  школьное  питание  на 2009-2015 годы"</t>
  </si>
  <si>
    <t>Субсидии на реализацию долгосрочной целевой программы "Развитие библиотечного дела в Вологодской области на 2009-2011 годы"</t>
  </si>
  <si>
    <t xml:space="preserve">   "Спортивный город" на 2009-2011 годы</t>
  </si>
  <si>
    <t xml:space="preserve"> Мероприятия в сфере культуры, кинематографии и средств массовой информации</t>
  </si>
  <si>
    <t xml:space="preserve">   Пристройка к зданию МУК "ГДК "Аммофос" (субсидии на капитальные вложения)</t>
  </si>
  <si>
    <t xml:space="preserve">   Строительство объектов общегражданского назначения</t>
  </si>
  <si>
    <t xml:space="preserve">   Строительство пристройки к зданию МУК "ГДК "Аммофос"</t>
  </si>
  <si>
    <t xml:space="preserve">  "Экология города" на 2009-2015 годы</t>
  </si>
  <si>
    <t xml:space="preserve">  Субсидии на финансовое обеспечение оказания дополнительной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</si>
  <si>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"Спортивный город" на 2009-2011 годы</t>
  </si>
  <si>
    <t>"Экология города" на 2009-2015 годы</t>
  </si>
  <si>
    <t>"Обеспечение жильем молодых семей" на 2009-2010 годы</t>
  </si>
  <si>
    <t>431 99 00</t>
  </si>
  <si>
    <t>431 95 00</t>
  </si>
  <si>
    <t xml:space="preserve">Итого расходов </t>
  </si>
  <si>
    <t xml:space="preserve">   Мероприятия по поддержке и развитию культуры, искусства, кинематографии, средств массовой информации и архивного дела</t>
  </si>
  <si>
    <t/>
  </si>
  <si>
    <t>Наименование</t>
  </si>
  <si>
    <t>Раздел</t>
  </si>
  <si>
    <t>Подраздел</t>
  </si>
  <si>
    <t>ОБЩЕГОСУДАРСТВЕННЫЕ  ВОПРОСЫ</t>
  </si>
  <si>
    <t>01</t>
  </si>
  <si>
    <t>02</t>
  </si>
  <si>
    <t>03</t>
  </si>
  <si>
    <t>04</t>
  </si>
  <si>
    <t>06</t>
  </si>
  <si>
    <t>514 01 01</t>
  </si>
  <si>
    <t xml:space="preserve">  Городские мероприятия в области социальной политики  </t>
  </si>
  <si>
    <t>476 95 00</t>
  </si>
  <si>
    <t>Медицинская помощь в дневных стационарах всех типов</t>
  </si>
  <si>
    <t>477 95 00</t>
  </si>
  <si>
    <t>102 02 00</t>
  </si>
  <si>
    <t xml:space="preserve"> 05 </t>
  </si>
  <si>
    <t>102 02 02</t>
  </si>
  <si>
    <t>102 02 01</t>
  </si>
  <si>
    <t>102 02 09</t>
  </si>
  <si>
    <t xml:space="preserve">   Бюджетные инвестиции в объекты капитального строительства, не включенные в целевые программы</t>
  </si>
  <si>
    <t>102 02 03</t>
  </si>
  <si>
    <t>102 02 10</t>
  </si>
  <si>
    <t>102 02 05</t>
  </si>
  <si>
    <t>102 02 06</t>
  </si>
  <si>
    <t>102 02 07</t>
  </si>
  <si>
    <t>102 02 08</t>
  </si>
  <si>
    <t xml:space="preserve">  Осуществление отдельных государственных полномочий по созданию в муниципальных районах и городских округах области комиссии по делам несовершеннолетних и защите их прав (за счет субвенций) </t>
  </si>
  <si>
    <t xml:space="preserve">  Долгосрочная целевая программа "Комплексная безопасность образовательного учреждения на 2011-2015 годы" (за счет субсидий)</t>
  </si>
  <si>
    <t xml:space="preserve">  Обеспечение социальной поддержки детей, обучающихся в муниципальных общеобразовательных учреждениях, из многодетных семей, приемных семей, имеющих в своем составе трех и более детей, в том числе родных, в части предоставления денежных выплат на проезд на внутригородском транспорте (кроме такси), а также в автобусах пригородных и внутрирайонных линий, и приобретение комплекта детской одежды для посещения школьных занятий, спортивной формы для занятий физической культурой (за счет субвенций)</t>
  </si>
  <si>
    <t xml:space="preserve"> Денежные выплаты медицинскому персоналу фельдшерско-акушерских пунктов, врачам, фельдшерам и медицинским сестрам скорой медицинской помощи (за счет субсидий)</t>
  </si>
  <si>
    <t xml:space="preserve">  Долгосрочная целевая программа "Пожарная безопасность учреждений здравоохранения" на 2009-2012 годы (за счет субсидий)</t>
  </si>
  <si>
    <t xml:space="preserve">  Осуществление отдельных государственных полномочий в сфере регулирования цен и тарифов (за счет субвенций)</t>
  </si>
  <si>
    <t xml:space="preserve">  Долгосрочная целевая программа "Развитие образования в сфере культуры и искусства в Вологодской области на 2010-2013 годы" (за счет субсидий)</t>
  </si>
  <si>
    <t xml:space="preserve">  Поддержка и развитие физической культуры и спорта (за счет субсидий)</t>
  </si>
  <si>
    <t xml:space="preserve">  Выполнение отдельных государственных полномочий по обеспечению мер социальной поддержки и социального обслуживания отдельных категорий граждан, указанных в статье 2 закона области от 17 декабря 2007 года № 1718-ОЗ "О наделении органов местного самоуправления отдельными государственными полномочиями в сфере труда и социальной защиты населения области", (за исключением полномочий, указанных в части 2 и пункте 8 части 6 статьи 2)" (за счет субвенций)</t>
  </si>
  <si>
    <t xml:space="preserve">  Осуществление отдельных государственных полномочий в сфере предоставления мер социальной поддержки при проезде на транспорте на территории Вологодской области в соответствии с законом области "О мерах социальной поддержки отдельных категорий граждан при проезде на транспорте на территории Вологодской области" в соответствии с  законом области "О наделении органов местного самоуправления отдельными государственными полномочиями в сфере предоставления мер социальной поддержки при проезде на транспорте на территории Вологодской области" (за счет субвенций)</t>
  </si>
  <si>
    <t>Осуществление отдельных государственных полномочий в сфере охраны окружающей среды (за счет субвенций)</t>
  </si>
  <si>
    <t xml:space="preserve">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</si>
  <si>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501</t>
  </si>
  <si>
    <t xml:space="preserve">   Функционирование органов в сфере национальной безопасности, правоохранительной деятельности и обороны</t>
  </si>
  <si>
    <t xml:space="preserve">  Военный персонал</t>
  </si>
  <si>
    <t>003</t>
  </si>
  <si>
    <t>514 02 00</t>
  </si>
  <si>
    <t>514 02 01</t>
  </si>
  <si>
    <t>514 02 02</t>
  </si>
  <si>
    <t>Обеспечение публичных нормативных обязательств города</t>
  </si>
  <si>
    <t xml:space="preserve"> Постановление Череповецкой городской Думы от 27.09.2005 № 87 "О Положении о звании "Почетный гражданин города Череповца"</t>
  </si>
  <si>
    <t xml:space="preserve">   Постановление Череповецкой городской Думы от 27.09.2005 № 88 "О Положении о Почетном знаке "За особые заслуги перед городом Череповцом"</t>
  </si>
  <si>
    <t>Средства массовой информации</t>
  </si>
  <si>
    <t xml:space="preserve">   Субсидии некоммерческим организациям в области жилищно-коммунального хозяйства</t>
  </si>
  <si>
    <t xml:space="preserve">   Выполнение функций бюджетными учреждениями</t>
  </si>
  <si>
    <t>805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</si>
</sst>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0.0"/>
    <numFmt numFmtId="172" formatCode="0.000000"/>
    <numFmt numFmtId="173" formatCode="0.00000"/>
    <numFmt numFmtId="174" formatCode="0.0000"/>
    <numFmt numFmtId="175" formatCode="0.000%"/>
    <numFmt numFmtId="176" formatCode="#,##0.0_ ;\-#,##0.0\ "/>
    <numFmt numFmtId="177" formatCode="[$€-2]\ ###,000_);[Red]\([$€-2]\ ###,000\)"/>
  </numFmts>
  <fonts count="16">
    <font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sz val="13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b/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1" fillId="0" borderId="1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NumberFormat="1" applyFont="1" applyFill="1" applyBorder="1" applyAlignment="1" applyProtection="1">
      <alignment horizontal="justify"/>
      <protection/>
    </xf>
    <xf numFmtId="0" fontId="0" fillId="0" borderId="0" xfId="0" applyBorder="1" applyAlignment="1">
      <alignment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justify"/>
      <protection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wrapText="1"/>
    </xf>
    <xf numFmtId="0" fontId="0" fillId="0" borderId="6" xfId="0" applyBorder="1" applyAlignment="1">
      <alignment/>
    </xf>
    <xf numFmtId="0" fontId="0" fillId="0" borderId="5" xfId="0" applyBorder="1" applyAlignment="1">
      <alignment wrapText="1"/>
    </xf>
    <xf numFmtId="0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2" fillId="2" borderId="0" xfId="0" applyFont="1" applyFill="1" applyAlignment="1">
      <alignment horizontal="center"/>
    </xf>
    <xf numFmtId="164" fontId="1" fillId="0" borderId="0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1" fillId="2" borderId="0" xfId="0" applyNumberFormat="1" applyFont="1" applyFill="1" applyBorder="1" applyAlignment="1" applyProtection="1">
      <alignment vertical="center"/>
      <protection/>
    </xf>
    <xf numFmtId="164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164" fontId="0" fillId="2" borderId="0" xfId="0" applyNumberFormat="1" applyFill="1" applyBorder="1" applyAlignment="1">
      <alignment/>
    </xf>
    <xf numFmtId="0" fontId="0" fillId="2" borderId="0" xfId="0" applyFill="1" applyAlignment="1">
      <alignment horizontal="center" vertical="top" wrapText="1"/>
    </xf>
    <xf numFmtId="0" fontId="1" fillId="2" borderId="0" xfId="0" applyNumberFormat="1" applyFont="1" applyFill="1" applyBorder="1" applyAlignment="1" applyProtection="1">
      <alignment horizontal="center" vertical="top"/>
      <protection/>
    </xf>
    <xf numFmtId="0" fontId="1" fillId="2" borderId="0" xfId="0" applyNumberFormat="1" applyFont="1" applyFill="1" applyBorder="1" applyAlignment="1" applyProtection="1">
      <alignment vertical="top"/>
      <protection/>
    </xf>
    <xf numFmtId="0" fontId="1" fillId="2" borderId="0" xfId="0" applyFont="1" applyFill="1" applyBorder="1" applyAlignment="1">
      <alignment/>
    </xf>
    <xf numFmtId="0" fontId="1" fillId="2" borderId="0" xfId="0" applyNumberFormat="1" applyFont="1" applyFill="1" applyBorder="1" applyAlignment="1" applyProtection="1">
      <alignment horizontal="right" vertical="top"/>
      <protection/>
    </xf>
    <xf numFmtId="4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164" fontId="0" fillId="2" borderId="0" xfId="0" applyNumberFormat="1" applyFill="1" applyBorder="1" applyAlignment="1">
      <alignment horizontal="center" vertical="top" wrapText="1"/>
    </xf>
    <xf numFmtId="49" fontId="0" fillId="2" borderId="0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4" fontId="7" fillId="2" borderId="0" xfId="0" applyNumberFormat="1" applyFont="1" applyFill="1" applyBorder="1" applyAlignment="1" applyProtection="1">
      <alignment horizontal="right"/>
      <protection/>
    </xf>
    <xf numFmtId="164" fontId="7" fillId="2" borderId="0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 vertical="top" wrapText="1"/>
    </xf>
    <xf numFmtId="4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64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3" xfId="0" applyFont="1" applyFill="1" applyBorder="1" applyAlignment="1">
      <alignment/>
    </xf>
    <xf numFmtId="0" fontId="0" fillId="2" borderId="4" xfId="0" applyFill="1" applyBorder="1" applyAlignment="1">
      <alignment horizontal="center"/>
    </xf>
    <xf numFmtId="164" fontId="0" fillId="2" borderId="4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14" fillId="2" borderId="0" xfId="0" applyNumberFormat="1" applyFont="1" applyFill="1" applyBorder="1" applyAlignment="1">
      <alignment/>
    </xf>
    <xf numFmtId="49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  <protection/>
    </xf>
    <xf numFmtId="164" fontId="1" fillId="0" borderId="2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164" fontId="1" fillId="0" borderId="2" xfId="0" applyNumberFormat="1" applyFont="1" applyFill="1" applyBorder="1" applyAlignment="1" applyProtection="1">
      <alignment vertical="center"/>
      <protection/>
    </xf>
    <xf numFmtId="164" fontId="1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/>
    </xf>
    <xf numFmtId="164" fontId="1" fillId="0" borderId="2" xfId="0" applyNumberFormat="1" applyFont="1" applyFill="1" applyBorder="1" applyAlignment="1" applyProtection="1">
      <alignment vertical="center" wrapText="1"/>
      <protection/>
    </xf>
    <xf numFmtId="0" fontId="1" fillId="0" borderId="2" xfId="0" applyNumberFormat="1" applyFont="1" applyFill="1" applyBorder="1" applyAlignment="1" applyProtection="1">
      <alignment horizontal="justify" vertical="center"/>
      <protection/>
    </xf>
    <xf numFmtId="164" fontId="1" fillId="0" borderId="2" xfId="0" applyNumberFormat="1" applyFont="1" applyFill="1" applyBorder="1" applyAlignment="1" applyProtection="1">
      <alignment horizontal="right" vertical="center"/>
      <protection/>
    </xf>
    <xf numFmtId="0" fontId="8" fillId="0" borderId="2" xfId="0" applyFont="1" applyBorder="1" applyAlignment="1">
      <alignment horizontal="justify" vertical="center"/>
    </xf>
    <xf numFmtId="0" fontId="8" fillId="0" borderId="2" xfId="0" applyFont="1" applyBorder="1" applyAlignment="1">
      <alignment vertical="center"/>
    </xf>
    <xf numFmtId="49" fontId="1" fillId="2" borderId="2" xfId="0" applyNumberFormat="1" applyFont="1" applyFill="1" applyBorder="1" applyAlignment="1" applyProtection="1">
      <alignment horizontal="center" vertical="center"/>
      <protection/>
    </xf>
    <xf numFmtId="164" fontId="1" fillId="2" borderId="2" xfId="0" applyNumberFormat="1" applyFont="1" applyFill="1" applyBorder="1" applyAlignment="1" applyProtection="1">
      <alignment horizontal="right" vertic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164" fontId="1" fillId="0" borderId="2" xfId="0" applyNumberFormat="1" applyFont="1" applyFill="1" applyBorder="1" applyAlignment="1" applyProtection="1">
      <alignment horizontal="center" vertical="center"/>
      <protection/>
    </xf>
    <xf numFmtId="164" fontId="7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2" xfId="0" applyFont="1" applyBorder="1" applyAlignment="1">
      <alignment horizontal="justify" vertical="center" wrapText="1"/>
    </xf>
    <xf numFmtId="49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Fill="1" applyBorder="1" applyAlignment="1" applyProtection="1">
      <alignment horizontal="right" vertical="center"/>
      <protection/>
    </xf>
    <xf numFmtId="0" fontId="1" fillId="0" borderId="2" xfId="0" applyNumberFormat="1" applyFont="1" applyFill="1" applyBorder="1" applyAlignment="1" applyProtection="1">
      <alignment horizontal="justify" vertical="center" wrapText="1"/>
      <protection/>
    </xf>
    <xf numFmtId="0" fontId="1" fillId="2" borderId="2" xfId="0" applyNumberFormat="1" applyFont="1" applyFill="1" applyBorder="1" applyAlignment="1" applyProtection="1">
      <alignment horizontal="left" vertical="center" wrapText="1"/>
      <protection/>
    </xf>
    <xf numFmtId="0" fontId="1" fillId="2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 applyProtection="1">
      <alignment horizontal="center" vertical="center"/>
      <protection/>
    </xf>
    <xf numFmtId="164" fontId="1" fillId="0" borderId="2" xfId="0" applyNumberFormat="1" applyFont="1" applyFill="1" applyBorder="1" applyAlignment="1" applyProtection="1">
      <alignment horizontal="right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1" fillId="2" borderId="2" xfId="0" applyNumberFormat="1" applyFont="1" applyFill="1" applyBorder="1" applyAlignment="1" applyProtection="1">
      <alignment horizontal="center" vertical="center"/>
      <protection/>
    </xf>
    <xf numFmtId="49" fontId="1" fillId="2" borderId="2" xfId="0" applyNumberFormat="1" applyFont="1" applyFill="1" applyBorder="1" applyAlignment="1" applyProtection="1">
      <alignment horizontal="center" vertical="center" wrapText="1"/>
      <protection/>
    </xf>
    <xf numFmtId="164" fontId="1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2" xfId="0" applyFill="1" applyBorder="1" applyAlignment="1">
      <alignment vertical="center"/>
    </xf>
    <xf numFmtId="49" fontId="1" fillId="2" borderId="8" xfId="0" applyNumberFormat="1" applyFont="1" applyFill="1" applyBorder="1" applyAlignment="1" applyProtection="1">
      <alignment horizontal="center" vertical="center"/>
      <protection/>
    </xf>
    <xf numFmtId="0" fontId="1" fillId="2" borderId="2" xfId="0" applyNumberFormat="1" applyFont="1" applyFill="1" applyBorder="1" applyAlignment="1" applyProtection="1">
      <alignment horizontal="center" vertical="center"/>
      <protection/>
    </xf>
    <xf numFmtId="49" fontId="1" fillId="2" borderId="2" xfId="0" applyNumberFormat="1" applyFont="1" applyFill="1" applyBorder="1" applyAlignment="1" applyProtection="1">
      <alignment horizontal="center" vertical="center"/>
      <protection/>
    </xf>
    <xf numFmtId="164" fontId="1" fillId="2" borderId="2" xfId="0" applyNumberFormat="1" applyFont="1" applyFill="1" applyBorder="1" applyAlignment="1" applyProtection="1">
      <alignment horizontal="right" vertical="center"/>
      <protection/>
    </xf>
    <xf numFmtId="49" fontId="9" fillId="2" borderId="2" xfId="0" applyNumberFormat="1" applyFont="1" applyFill="1" applyBorder="1" applyAlignment="1" applyProtection="1">
      <alignment horizontal="center" vertical="center"/>
      <protection/>
    </xf>
    <xf numFmtId="49" fontId="1" fillId="2" borderId="2" xfId="0" applyNumberFormat="1" applyFont="1" applyFill="1" applyBorder="1" applyAlignment="1" applyProtection="1">
      <alignment vertical="center"/>
      <protection/>
    </xf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vertical="center"/>
    </xf>
    <xf numFmtId="0" fontId="0" fillId="0" borderId="0" xfId="0" applyAlignment="1">
      <alignment horizontal="right" vertical="justify"/>
    </xf>
    <xf numFmtId="0" fontId="1" fillId="0" borderId="2" xfId="0" applyNumberFormat="1" applyFont="1" applyFill="1" applyBorder="1" applyAlignment="1" applyProtection="1">
      <alignment horizontal="left" vertical="justify" wrapText="1"/>
      <protection/>
    </xf>
    <xf numFmtId="1" fontId="1" fillId="0" borderId="2" xfId="0" applyNumberFormat="1" applyFont="1" applyBorder="1" applyAlignment="1">
      <alignment horizontal="left" vertical="justify" wrapText="1"/>
    </xf>
    <xf numFmtId="0" fontId="8" fillId="0" borderId="2" xfId="0" applyFont="1" applyBorder="1" applyAlignment="1">
      <alignment horizontal="left" vertical="justify" wrapText="1"/>
    </xf>
    <xf numFmtId="0" fontId="1" fillId="0" borderId="2" xfId="0" applyFont="1" applyBorder="1" applyAlignment="1">
      <alignment horizontal="left" vertical="justify" wrapText="1"/>
    </xf>
    <xf numFmtId="0" fontId="8" fillId="0" borderId="2" xfId="0" applyFont="1" applyBorder="1" applyAlignment="1">
      <alignment horizontal="left" vertical="justify" wrapText="1"/>
    </xf>
    <xf numFmtId="49" fontId="1" fillId="0" borderId="2" xfId="0" applyNumberFormat="1" applyFont="1" applyBorder="1" applyAlignment="1">
      <alignment horizontal="left" vertical="justify" wrapText="1"/>
    </xf>
    <xf numFmtId="0" fontId="1" fillId="0" borderId="2" xfId="0" applyFont="1" applyBorder="1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8" fillId="2" borderId="2" xfId="0" applyFont="1" applyFill="1" applyBorder="1" applyAlignment="1">
      <alignment horizontal="left" vertical="justify" wrapText="1"/>
    </xf>
    <xf numFmtId="0" fontId="8" fillId="2" borderId="2" xfId="0" applyFont="1" applyFill="1" applyBorder="1" applyAlignment="1">
      <alignment horizontal="left" vertical="justify" wrapText="1"/>
    </xf>
    <xf numFmtId="0" fontId="1" fillId="0" borderId="8" xfId="19" applyNumberFormat="1" applyFont="1" applyFill="1" applyBorder="1" applyAlignment="1" applyProtection="1">
      <alignment horizontal="left" vertical="justify" wrapText="1"/>
      <protection hidden="1"/>
    </xf>
    <xf numFmtId="49" fontId="1" fillId="0" borderId="2" xfId="0" applyNumberFormat="1" applyFont="1" applyBorder="1" applyAlignment="1">
      <alignment horizontal="left" vertical="justify" wrapText="1"/>
    </xf>
    <xf numFmtId="49" fontId="1" fillId="2" borderId="2" xfId="0" applyNumberFormat="1" applyFont="1" applyFill="1" applyBorder="1" applyAlignment="1">
      <alignment horizontal="left" vertical="justify" wrapText="1"/>
    </xf>
    <xf numFmtId="0" fontId="4" fillId="0" borderId="5" xfId="0" applyFont="1" applyBorder="1" applyAlignment="1">
      <alignment horizontal="left" vertical="justify"/>
    </xf>
    <xf numFmtId="0" fontId="1" fillId="0" borderId="2" xfId="0" applyNumberFormat="1" applyFont="1" applyFill="1" applyBorder="1" applyAlignment="1" applyProtection="1">
      <alignment horizontal="left" vertical="justify" wrapText="1"/>
      <protection/>
    </xf>
    <xf numFmtId="0" fontId="1" fillId="2" borderId="2" xfId="0" applyNumberFormat="1" applyFont="1" applyFill="1" applyBorder="1" applyAlignment="1" applyProtection="1">
      <alignment horizontal="left" vertical="justify" wrapText="1"/>
      <protection/>
    </xf>
    <xf numFmtId="0" fontId="1" fillId="2" borderId="2" xfId="0" applyFont="1" applyFill="1" applyBorder="1" applyAlignment="1">
      <alignment horizontal="left" vertical="justify" wrapText="1"/>
    </xf>
    <xf numFmtId="49" fontId="1" fillId="2" borderId="2" xfId="0" applyNumberFormat="1" applyFont="1" applyFill="1" applyBorder="1" applyAlignment="1">
      <alignment horizontal="left" vertical="justify" wrapText="1"/>
    </xf>
    <xf numFmtId="0" fontId="1" fillId="0" borderId="2" xfId="19" applyNumberFormat="1" applyFont="1" applyFill="1" applyBorder="1" applyAlignment="1" applyProtection="1">
      <alignment horizontal="left" vertical="justify" wrapText="1"/>
      <protection hidden="1"/>
    </xf>
    <xf numFmtId="0" fontId="1" fillId="0" borderId="5" xfId="0" applyFont="1" applyBorder="1" applyAlignment="1">
      <alignment horizontal="left" vertical="justify" wrapText="1"/>
    </xf>
    <xf numFmtId="0" fontId="11" fillId="0" borderId="5" xfId="0" applyFont="1" applyBorder="1" applyAlignment="1">
      <alignment horizontal="left" vertical="justify"/>
    </xf>
    <xf numFmtId="0" fontId="8" fillId="2" borderId="2" xfId="0" applyNumberFormat="1" applyFont="1" applyFill="1" applyBorder="1" applyAlignment="1">
      <alignment horizontal="left" vertical="justify" wrapText="1"/>
    </xf>
    <xf numFmtId="0" fontId="1" fillId="0" borderId="2" xfId="18" applyNumberFormat="1" applyFont="1" applyFill="1" applyBorder="1" applyAlignment="1" applyProtection="1">
      <alignment horizontal="left" vertical="justify" wrapText="1"/>
      <protection hidden="1"/>
    </xf>
    <xf numFmtId="0" fontId="11" fillId="0" borderId="2" xfId="19" applyNumberFormat="1" applyFont="1" applyFill="1" applyBorder="1" applyAlignment="1" applyProtection="1">
      <alignment horizontal="left" vertical="justify" wrapText="1"/>
      <protection hidden="1"/>
    </xf>
    <xf numFmtId="0" fontId="1" fillId="2" borderId="2" xfId="0" applyNumberFormat="1" applyFont="1" applyFill="1" applyBorder="1" applyAlignment="1" applyProtection="1">
      <alignment horizontal="left" vertical="justify" wrapText="1"/>
      <protection/>
    </xf>
    <xf numFmtId="1" fontId="1" fillId="2" borderId="2" xfId="0" applyNumberFormat="1" applyFont="1" applyFill="1" applyBorder="1" applyAlignment="1">
      <alignment horizontal="left" vertical="justify" wrapText="1"/>
    </xf>
    <xf numFmtId="0" fontId="4" fillId="2" borderId="5" xfId="0" applyFont="1" applyFill="1" applyBorder="1" applyAlignment="1">
      <alignment horizontal="left" vertical="justify"/>
    </xf>
    <xf numFmtId="0" fontId="1" fillId="2" borderId="2" xfId="19" applyNumberFormat="1" applyFont="1" applyFill="1" applyBorder="1" applyAlignment="1" applyProtection="1">
      <alignment horizontal="left" vertical="justify" wrapText="1"/>
      <protection hidden="1"/>
    </xf>
    <xf numFmtId="0" fontId="1" fillId="2" borderId="2" xfId="0" applyFont="1" applyFill="1" applyBorder="1" applyAlignment="1">
      <alignment horizontal="left" vertical="justify" wrapText="1"/>
    </xf>
    <xf numFmtId="0" fontId="7" fillId="2" borderId="5" xfId="0" applyFont="1" applyFill="1" applyBorder="1" applyAlignment="1">
      <alignment horizontal="left" vertical="justify" wrapText="1"/>
    </xf>
    <xf numFmtId="0" fontId="12" fillId="2" borderId="5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horizontal="left" vertical="justify" wrapText="1"/>
    </xf>
    <xf numFmtId="0" fontId="11" fillId="2" borderId="2" xfId="19" applyNumberFormat="1" applyFont="1" applyFill="1" applyBorder="1" applyAlignment="1" applyProtection="1">
      <alignment horizontal="left" vertical="justify" wrapText="1"/>
      <protection hidden="1"/>
    </xf>
    <xf numFmtId="0" fontId="0" fillId="2" borderId="4" xfId="0" applyFill="1" applyBorder="1" applyAlignment="1">
      <alignment horizontal="left" vertical="justify"/>
    </xf>
    <xf numFmtId="164" fontId="1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Fill="1" applyBorder="1" applyAlignment="1" applyProtection="1">
      <alignment horizontal="right" vertical="center"/>
      <protection/>
    </xf>
    <xf numFmtId="0" fontId="1" fillId="2" borderId="2" xfId="0" applyNumberFormat="1" applyFont="1" applyFill="1" applyBorder="1" applyAlignment="1" applyProtection="1">
      <alignment horizontal="right" vertical="center" wrapText="1"/>
      <protection/>
    </xf>
    <xf numFmtId="0" fontId="0" fillId="2" borderId="2" xfId="0" applyFill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Alignment="1">
      <alignment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2" borderId="11" xfId="0" applyNumberFormat="1" applyFont="1" applyFill="1" applyBorder="1" applyAlignment="1" applyProtection="1">
      <alignment horizontal="center" vertical="center" wrapText="1"/>
      <protection/>
    </xf>
    <xf numFmtId="0" fontId="1" fillId="2" borderId="12" xfId="0" applyNumberFormat="1" applyFont="1" applyFill="1" applyBorder="1" applyAlignment="1" applyProtection="1">
      <alignment horizontal="center" vertical="center" wrapText="1"/>
      <protection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0" xfId="0" applyNumberFormat="1" applyFont="1" applyFill="1" applyBorder="1" applyAlignment="1" applyProtection="1">
      <alignment horizontal="center" vertical="top" wrapText="1"/>
      <protection/>
    </xf>
    <xf numFmtId="0" fontId="0" fillId="2" borderId="0" xfId="0" applyFill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0">
    <cellStyle name="Normal" xfId="0"/>
    <cellStyle name="Hyperlink" xfId="15"/>
    <cellStyle name="Currency" xfId="16"/>
    <cellStyle name="Currency [0]" xfId="17"/>
    <cellStyle name="Обычный 2" xfId="18"/>
    <cellStyle name="Обычный_tmp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9</xdr:col>
      <xdr:colOff>904875</xdr:colOff>
      <xdr:row>0</xdr:row>
      <xdr:rowOff>0</xdr:rowOff>
    </xdr:to>
    <xdr:pic>
      <xdr:nvPicPr>
        <xdr:cNvPr id="1" name="Shap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495300</xdr:colOff>
      <xdr:row>0</xdr:row>
      <xdr:rowOff>0</xdr:rowOff>
    </xdr:from>
    <xdr:to>
      <xdr:col>15</xdr:col>
      <xdr:colOff>123825</xdr:colOff>
      <xdr:row>0</xdr:row>
      <xdr:rowOff>0</xdr:rowOff>
    </xdr:to>
    <xdr:pic>
      <xdr:nvPicPr>
        <xdr:cNvPr id="2" name="Shape 10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0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904875</xdr:colOff>
      <xdr:row>0</xdr:row>
      <xdr:rowOff>0</xdr:rowOff>
    </xdr:to>
    <xdr:pic>
      <xdr:nvPicPr>
        <xdr:cNvPr id="3" name="Shape 10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495300</xdr:colOff>
      <xdr:row>0</xdr:row>
      <xdr:rowOff>0</xdr:rowOff>
    </xdr:from>
    <xdr:to>
      <xdr:col>15</xdr:col>
      <xdr:colOff>123825</xdr:colOff>
      <xdr:row>0</xdr:row>
      <xdr:rowOff>0</xdr:rowOff>
    </xdr:to>
    <xdr:pic>
      <xdr:nvPicPr>
        <xdr:cNvPr id="4" name="Shap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0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904875</xdr:colOff>
      <xdr:row>0</xdr:row>
      <xdr:rowOff>0</xdr:rowOff>
    </xdr:to>
    <xdr:pic>
      <xdr:nvPicPr>
        <xdr:cNvPr id="5" name="Shape 10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495300</xdr:colOff>
      <xdr:row>0</xdr:row>
      <xdr:rowOff>0</xdr:rowOff>
    </xdr:from>
    <xdr:to>
      <xdr:col>15</xdr:col>
      <xdr:colOff>123825</xdr:colOff>
      <xdr:row>0</xdr:row>
      <xdr:rowOff>0</xdr:rowOff>
    </xdr:to>
    <xdr:pic>
      <xdr:nvPicPr>
        <xdr:cNvPr id="6" name="Shape 10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0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904875</xdr:colOff>
      <xdr:row>0</xdr:row>
      <xdr:rowOff>0</xdr:rowOff>
    </xdr:to>
    <xdr:pic>
      <xdr:nvPicPr>
        <xdr:cNvPr id="7" name="Shape 10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495300</xdr:colOff>
      <xdr:row>0</xdr:row>
      <xdr:rowOff>0</xdr:rowOff>
    </xdr:from>
    <xdr:to>
      <xdr:col>15</xdr:col>
      <xdr:colOff>123825</xdr:colOff>
      <xdr:row>0</xdr:row>
      <xdr:rowOff>0</xdr:rowOff>
    </xdr:to>
    <xdr:pic>
      <xdr:nvPicPr>
        <xdr:cNvPr id="8" name="Shape 10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0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.&#1087;&#1086;%20&#1088;&#1072;&#1089;&#1093;&#1086;&#1076;%20-2011-(&#1088;&#1072;&#1073;&#1086;&#1095;&#1072;&#1103;%20)&#1089;%20&#1101;&#1082;&#1089;&#1087;&#1077;&#1088;&#1090;&#1085;&#1099;&#1084;%20&#1085;&#1072;%2001.10%20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2011"/>
      <sheetName val="ОМС"/>
      <sheetName val="свод 2011 с новыми доходами"/>
      <sheetName val="Свод после экспертного"/>
      <sheetName val="расшифровка прогноза 2011"/>
    </sheetNames>
    <sheetDataSet>
      <sheetData sheetId="4">
        <row r="265">
          <cell r="U265">
            <v>3019869.400000001</v>
          </cell>
          <cell r="V265">
            <v>3096951.5000000005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9"/>
  <sheetViews>
    <sheetView showZeros="0" view="pageBreakPreview" zoomScale="85" zoomScaleNormal="75" zoomScaleSheetLayoutView="85" workbookViewId="0" topLeftCell="A1">
      <selection activeCell="A77" sqref="A77"/>
    </sheetView>
  </sheetViews>
  <sheetFormatPr defaultColWidth="9.00390625" defaultRowHeight="12.75"/>
  <cols>
    <col min="1" max="1" width="81.75390625" style="0" customWidth="1"/>
    <col min="2" max="3" width="12.375" style="0" customWidth="1"/>
    <col min="4" max="4" width="26.00390625" style="0" hidden="1" customWidth="1"/>
    <col min="5" max="5" width="20.125" style="0" customWidth="1"/>
    <col min="6" max="6" width="15.625" style="0" customWidth="1"/>
  </cols>
  <sheetData>
    <row r="1" ht="16.5" customHeight="1">
      <c r="D1" s="6"/>
    </row>
    <row r="2" spans="4:5" ht="19.5" customHeight="1">
      <c r="D2" s="6"/>
      <c r="E2" s="22" t="s">
        <v>592</v>
      </c>
    </row>
    <row r="3" spans="4:5" ht="18.75" customHeight="1">
      <c r="D3" s="6"/>
      <c r="E3" s="22" t="s">
        <v>296</v>
      </c>
    </row>
    <row r="4" spans="4:5" ht="20.25" customHeight="1">
      <c r="D4" s="6"/>
      <c r="E4" s="22" t="s">
        <v>297</v>
      </c>
    </row>
    <row r="5" spans="1:5" ht="16.5" customHeight="1">
      <c r="A5" t="s">
        <v>589</v>
      </c>
      <c r="B5" s="11"/>
      <c r="D5" s="6"/>
      <c r="E5" s="6" t="s">
        <v>463</v>
      </c>
    </row>
    <row r="6" spans="3:4" ht="16.5" customHeight="1" hidden="1">
      <c r="C6" s="6"/>
      <c r="D6" s="6"/>
    </row>
    <row r="7" ht="16.5" customHeight="1" hidden="1">
      <c r="C7" s="22"/>
    </row>
    <row r="8" ht="16.5" customHeight="1" hidden="1">
      <c r="C8" s="22"/>
    </row>
    <row r="9" ht="16.5" customHeight="1" hidden="1">
      <c r="C9" s="22"/>
    </row>
    <row r="10" ht="16.5" customHeight="1" hidden="1">
      <c r="C10" s="22"/>
    </row>
    <row r="11" spans="1:3" ht="16.5" hidden="1">
      <c r="A11" s="2"/>
      <c r="B11" s="2"/>
      <c r="C11" s="22"/>
    </row>
    <row r="12" spans="1:4" ht="15.75" customHeight="1">
      <c r="A12" s="3"/>
      <c r="B12" s="3"/>
      <c r="C12" s="1"/>
      <c r="D12" s="1"/>
    </row>
    <row r="13" spans="1:6" ht="18.75" customHeight="1">
      <c r="A13" s="155" t="s">
        <v>590</v>
      </c>
      <c r="B13" s="156"/>
      <c r="C13" s="156"/>
      <c r="D13" s="156"/>
      <c r="E13" s="156"/>
      <c r="F13" s="156"/>
    </row>
    <row r="14" spans="1:6" ht="21" customHeight="1">
      <c r="A14" s="159" t="s">
        <v>588</v>
      </c>
      <c r="B14" s="156"/>
      <c r="C14" s="156"/>
      <c r="D14" s="156"/>
      <c r="E14" s="156"/>
      <c r="F14" s="156"/>
    </row>
    <row r="15" spans="1:6" ht="18.75" customHeight="1">
      <c r="A15" s="159" t="s">
        <v>595</v>
      </c>
      <c r="B15" s="160"/>
      <c r="C15" s="160"/>
      <c r="D15" s="160"/>
      <c r="E15" s="160"/>
      <c r="F15" s="160"/>
    </row>
    <row r="16" spans="1:4" ht="16.5" customHeight="1" hidden="1">
      <c r="A16" s="2" t="s">
        <v>785</v>
      </c>
      <c r="B16" s="2"/>
      <c r="C16" s="2"/>
      <c r="D16" s="2"/>
    </row>
    <row r="17" spans="1:5" ht="15" customHeight="1">
      <c r="A17" s="2"/>
      <c r="B17" s="2"/>
      <c r="C17" s="2"/>
      <c r="D17" s="15"/>
      <c r="E17" s="31"/>
    </row>
    <row r="18" spans="1:4" ht="14.25" customHeight="1">
      <c r="A18" s="2"/>
      <c r="B18" s="2"/>
      <c r="C18" s="2"/>
      <c r="D18" s="29" t="s">
        <v>486</v>
      </c>
    </row>
    <row r="19" spans="1:6" ht="21" customHeight="1">
      <c r="A19" s="161" t="s">
        <v>786</v>
      </c>
      <c r="B19" s="161" t="s">
        <v>787</v>
      </c>
      <c r="C19" s="161" t="s">
        <v>788</v>
      </c>
      <c r="D19" s="163" t="s">
        <v>240</v>
      </c>
      <c r="E19" s="157" t="s">
        <v>587</v>
      </c>
      <c r="F19" s="158"/>
    </row>
    <row r="20" spans="1:6" ht="20.25" customHeight="1">
      <c r="A20" s="162"/>
      <c r="B20" s="162"/>
      <c r="C20" s="162"/>
      <c r="D20" s="164"/>
      <c r="E20" s="70" t="s">
        <v>241</v>
      </c>
      <c r="F20" s="71" t="s">
        <v>242</v>
      </c>
    </row>
    <row r="21" spans="1:6" ht="8.25" customHeight="1" hidden="1">
      <c r="A21" s="7"/>
      <c r="B21" s="8"/>
      <c r="C21" s="9"/>
      <c r="D21" s="8"/>
      <c r="E21" s="27"/>
      <c r="F21" s="27"/>
    </row>
    <row r="22" spans="1:6" ht="21" customHeight="1">
      <c r="A22" s="116" t="s">
        <v>789</v>
      </c>
      <c r="B22" s="69" t="s">
        <v>790</v>
      </c>
      <c r="C22" s="69"/>
      <c r="D22" s="76">
        <f>SUM(D23:D30)</f>
        <v>302014.3</v>
      </c>
      <c r="E22" s="84">
        <f>SUM(E23:E30)</f>
        <v>273895.1</v>
      </c>
      <c r="F22" s="84">
        <f>SUM(F23:F30)</f>
        <v>276979</v>
      </c>
    </row>
    <row r="23" spans="1:6" ht="34.5" customHeight="1">
      <c r="A23" s="117" t="s">
        <v>21</v>
      </c>
      <c r="B23" s="69" t="s">
        <v>790</v>
      </c>
      <c r="C23" s="69" t="s">
        <v>791</v>
      </c>
      <c r="D23" s="76">
        <f>'прил.14'!G17</f>
        <v>2114.3</v>
      </c>
      <c r="E23" s="84">
        <f>'прил.14'!H17</f>
        <v>2114.3</v>
      </c>
      <c r="F23" s="84">
        <f>'прил.14'!I17</f>
        <v>2114.3</v>
      </c>
    </row>
    <row r="24" spans="1:6" ht="51" customHeight="1">
      <c r="A24" s="116" t="s">
        <v>584</v>
      </c>
      <c r="B24" s="69" t="s">
        <v>790</v>
      </c>
      <c r="C24" s="69" t="s">
        <v>792</v>
      </c>
      <c r="D24" s="77">
        <f>'прил.14'!G21</f>
        <v>18178.5</v>
      </c>
      <c r="E24" s="150">
        <f>'прил.14'!H21</f>
        <v>17403</v>
      </c>
      <c r="F24" s="150">
        <f>'прил.14'!I21</f>
        <v>17446.5</v>
      </c>
    </row>
    <row r="25" spans="1:6" ht="51.75" customHeight="1">
      <c r="A25" s="118" t="s">
        <v>30</v>
      </c>
      <c r="B25" s="69" t="s">
        <v>790</v>
      </c>
      <c r="C25" s="69" t="s">
        <v>793</v>
      </c>
      <c r="D25" s="76">
        <f>'прил.14'!G29</f>
        <v>93195.7</v>
      </c>
      <c r="E25" s="84">
        <f>'прил.14'!H29</f>
        <v>90310</v>
      </c>
      <c r="F25" s="84">
        <f>'прил.14'!I29</f>
        <v>90561.70000000001</v>
      </c>
    </row>
    <row r="26" spans="1:6" ht="19.5" customHeight="1">
      <c r="A26" s="118" t="s">
        <v>586</v>
      </c>
      <c r="B26" s="69" t="s">
        <v>790</v>
      </c>
      <c r="C26" s="69" t="s">
        <v>42</v>
      </c>
      <c r="D26" s="76">
        <f>'прил.14'!G40</f>
        <v>0</v>
      </c>
      <c r="E26" s="84">
        <f>'прил.14'!H40</f>
        <v>211.7</v>
      </c>
      <c r="F26" s="84">
        <f>'прил.14'!I40</f>
        <v>0</v>
      </c>
    </row>
    <row r="27" spans="1:6" ht="38.25" customHeight="1">
      <c r="A27" s="116" t="s">
        <v>591</v>
      </c>
      <c r="B27" s="69" t="s">
        <v>790</v>
      </c>
      <c r="C27" s="69" t="s">
        <v>794</v>
      </c>
      <c r="D27" s="76">
        <f>'прил.14'!G43</f>
        <v>26238.7</v>
      </c>
      <c r="E27" s="84">
        <f>'прил.14'!H43</f>
        <v>26250.6</v>
      </c>
      <c r="F27" s="84">
        <f>'прил.14'!I43</f>
        <v>26261.8</v>
      </c>
    </row>
    <row r="28" spans="1:6" ht="18" customHeight="1" hidden="1">
      <c r="A28" s="119" t="s">
        <v>517</v>
      </c>
      <c r="B28" s="69" t="s">
        <v>790</v>
      </c>
      <c r="C28" s="69" t="s">
        <v>508</v>
      </c>
      <c r="D28" s="76">
        <f>'прил.14'!G50</f>
        <v>2005.6</v>
      </c>
      <c r="E28" s="84">
        <f>'прил.14'!H50</f>
        <v>0</v>
      </c>
      <c r="F28" s="84">
        <f>'прил.14'!I50</f>
        <v>0</v>
      </c>
    </row>
    <row r="29" spans="1:6" ht="18" customHeight="1">
      <c r="A29" s="116" t="s">
        <v>303</v>
      </c>
      <c r="B29" s="69" t="s">
        <v>790</v>
      </c>
      <c r="C29" s="69" t="s">
        <v>45</v>
      </c>
      <c r="D29" s="76">
        <f>'прил.14'!G54</f>
        <v>41443.399999999994</v>
      </c>
      <c r="E29" s="84">
        <f>'прил.14'!H54</f>
        <v>50000</v>
      </c>
      <c r="F29" s="84">
        <f>'прил.14'!I54</f>
        <v>50000</v>
      </c>
    </row>
    <row r="30" spans="1:6" ht="19.5" customHeight="1">
      <c r="A30" s="116" t="s">
        <v>305</v>
      </c>
      <c r="B30" s="69" t="s">
        <v>790</v>
      </c>
      <c r="C30" s="69" t="s">
        <v>487</v>
      </c>
      <c r="D30" s="76">
        <f>'прил.14'!G58</f>
        <v>118838.09999999999</v>
      </c>
      <c r="E30" s="84">
        <f>'прил.14'!H58</f>
        <v>87605.5</v>
      </c>
      <c r="F30" s="84">
        <f>'прил.14'!I58</f>
        <v>90594.7</v>
      </c>
    </row>
    <row r="31" spans="1:6" ht="34.5" customHeight="1">
      <c r="A31" s="116" t="s">
        <v>193</v>
      </c>
      <c r="B31" s="69" t="s">
        <v>792</v>
      </c>
      <c r="C31" s="69"/>
      <c r="D31" s="76">
        <f>SUM(D32:D34)</f>
        <v>61553.2</v>
      </c>
      <c r="E31" s="84">
        <f>SUM(E32:E34)</f>
        <v>58288.600000000006</v>
      </c>
      <c r="F31" s="84">
        <f>SUM(F32:F34)</f>
        <v>58819.5</v>
      </c>
    </row>
    <row r="32" spans="1:6" ht="19.5" customHeight="1">
      <c r="A32" s="116" t="s">
        <v>613</v>
      </c>
      <c r="B32" s="69" t="s">
        <v>792</v>
      </c>
      <c r="C32" s="69" t="s">
        <v>791</v>
      </c>
      <c r="D32" s="76">
        <f>'прил.14'!G99</f>
        <v>23212.2</v>
      </c>
      <c r="E32" s="84">
        <f>'прил.14'!H99</f>
        <v>23339.600000000002</v>
      </c>
      <c r="F32" s="84">
        <f>'прил.14'!I99</f>
        <v>23440.1</v>
      </c>
    </row>
    <row r="33" spans="1:6" ht="36.75" customHeight="1">
      <c r="A33" s="116" t="s">
        <v>616</v>
      </c>
      <c r="B33" s="69" t="s">
        <v>792</v>
      </c>
      <c r="C33" s="69" t="s">
        <v>40</v>
      </c>
      <c r="D33" s="76">
        <f>'прил.14'!G111</f>
        <v>38341</v>
      </c>
      <c r="E33" s="84">
        <f>'прил.14'!H111</f>
        <v>34949</v>
      </c>
      <c r="F33" s="84">
        <f>'прил.14'!I111</f>
        <v>35379.4</v>
      </c>
    </row>
    <row r="34" spans="1:6" ht="33" customHeight="1" hidden="1">
      <c r="A34" s="116" t="s">
        <v>229</v>
      </c>
      <c r="B34" s="69" t="s">
        <v>792</v>
      </c>
      <c r="C34" s="69" t="s">
        <v>544</v>
      </c>
      <c r="D34" s="76">
        <f>'прил.14'!G121</f>
        <v>0</v>
      </c>
      <c r="E34" s="84">
        <f>'прил.14'!H121</f>
        <v>0</v>
      </c>
      <c r="F34" s="84">
        <f>'прил.14'!I121</f>
        <v>0</v>
      </c>
    </row>
    <row r="35" spans="1:6" ht="19.5" customHeight="1">
      <c r="A35" s="116" t="s">
        <v>41</v>
      </c>
      <c r="B35" s="69" t="s">
        <v>793</v>
      </c>
      <c r="C35" s="69"/>
      <c r="D35" s="76">
        <f>SUM(D36:D38)</f>
        <v>148281.90000000002</v>
      </c>
      <c r="E35" s="84">
        <f>SUM(E36:E38)</f>
        <v>126825.1</v>
      </c>
      <c r="F35" s="84">
        <f>SUM(F36:F38)</f>
        <v>124417.79999999999</v>
      </c>
    </row>
    <row r="36" spans="1:6" ht="19.5" customHeight="1" hidden="1">
      <c r="A36" s="120" t="s">
        <v>618</v>
      </c>
      <c r="B36" s="69" t="s">
        <v>793</v>
      </c>
      <c r="C36" s="69" t="s">
        <v>790</v>
      </c>
      <c r="D36" s="76">
        <f>'прил.14'!G125</f>
        <v>1418.3</v>
      </c>
      <c r="E36" s="84">
        <f>'прил.14'!H125</f>
        <v>0</v>
      </c>
      <c r="F36" s="84">
        <f>'прил.14'!I125</f>
        <v>0</v>
      </c>
    </row>
    <row r="37" spans="1:6" ht="16.5" customHeight="1">
      <c r="A37" s="116" t="s">
        <v>619</v>
      </c>
      <c r="B37" s="69" t="s">
        <v>793</v>
      </c>
      <c r="C37" s="69" t="s">
        <v>471</v>
      </c>
      <c r="D37" s="76">
        <f>'прил.14'!G134</f>
        <v>45290</v>
      </c>
      <c r="E37" s="84">
        <f>'прил.14'!H134</f>
        <v>33992.6</v>
      </c>
      <c r="F37" s="84">
        <f>'прил.14'!I134</f>
        <v>34376.9</v>
      </c>
    </row>
    <row r="38" spans="1:6" ht="21" customHeight="1">
      <c r="A38" s="116" t="s">
        <v>419</v>
      </c>
      <c r="B38" s="69" t="s">
        <v>793</v>
      </c>
      <c r="C38" s="69" t="s">
        <v>509</v>
      </c>
      <c r="D38" s="76">
        <f>'прил.14'!G138</f>
        <v>101573.6</v>
      </c>
      <c r="E38" s="84">
        <f>'прил.14'!H138</f>
        <v>92832.5</v>
      </c>
      <c r="F38" s="84">
        <f>'прил.14'!I138</f>
        <v>90040.9</v>
      </c>
    </row>
    <row r="39" spans="1:6" ht="21" customHeight="1">
      <c r="A39" s="116" t="s">
        <v>46</v>
      </c>
      <c r="B39" s="69" t="s">
        <v>42</v>
      </c>
      <c r="C39" s="69"/>
      <c r="D39" s="76">
        <f>SUM(D40:D43)</f>
        <v>1227383.7</v>
      </c>
      <c r="E39" s="84">
        <f>SUM(E40:E43)</f>
        <v>957131.8999999999</v>
      </c>
      <c r="F39" s="84">
        <f>SUM(F40:F43)</f>
        <v>570664.0999999999</v>
      </c>
    </row>
    <row r="40" spans="1:6" ht="16.5">
      <c r="A40" s="116" t="s">
        <v>152</v>
      </c>
      <c r="B40" s="69" t="s">
        <v>42</v>
      </c>
      <c r="C40" s="69" t="s">
        <v>790</v>
      </c>
      <c r="D40" s="76">
        <f>'прил.14'!G158</f>
        <v>54739.1</v>
      </c>
      <c r="E40" s="84">
        <f>'прил.14'!H158</f>
        <v>3834.2</v>
      </c>
      <c r="F40" s="84">
        <f>'прил.14'!I158</f>
        <v>3834.2</v>
      </c>
    </row>
    <row r="41" spans="1:6" ht="16.5">
      <c r="A41" s="116" t="s">
        <v>630</v>
      </c>
      <c r="B41" s="69" t="s">
        <v>42</v>
      </c>
      <c r="C41" s="69" t="s">
        <v>791</v>
      </c>
      <c r="D41" s="76">
        <f>'прил.14'!G184</f>
        <v>33500</v>
      </c>
      <c r="E41" s="84">
        <f>'прил.14'!H184</f>
        <v>2300</v>
      </c>
      <c r="F41" s="84">
        <f>'прил.14'!I184</f>
        <v>4320</v>
      </c>
    </row>
    <row r="42" spans="1:6" ht="16.5">
      <c r="A42" s="119" t="s">
        <v>633</v>
      </c>
      <c r="B42" s="69" t="s">
        <v>42</v>
      </c>
      <c r="C42" s="69" t="s">
        <v>792</v>
      </c>
      <c r="D42" s="76">
        <f>'прил.14'!G208</f>
        <v>1123171.9</v>
      </c>
      <c r="E42" s="84">
        <f>'прил.14'!H208</f>
        <v>935014.2</v>
      </c>
      <c r="F42" s="84">
        <f>'прил.14'!I208</f>
        <v>546516.0999999999</v>
      </c>
    </row>
    <row r="43" spans="1:6" ht="18.75" customHeight="1">
      <c r="A43" s="116" t="s">
        <v>411</v>
      </c>
      <c r="B43" s="69" t="s">
        <v>42</v>
      </c>
      <c r="C43" s="69" t="s">
        <v>42</v>
      </c>
      <c r="D43" s="76">
        <f>'прил.14'!G247</f>
        <v>15972.699999999999</v>
      </c>
      <c r="E43" s="84">
        <f>'прил.14'!H247</f>
        <v>15983.5</v>
      </c>
      <c r="F43" s="84">
        <f>'прил.14'!I247</f>
        <v>15993.8</v>
      </c>
    </row>
    <row r="44" spans="1:6" ht="16.5">
      <c r="A44" s="116" t="s">
        <v>113</v>
      </c>
      <c r="B44" s="69" t="s">
        <v>794</v>
      </c>
      <c r="C44" s="69"/>
      <c r="D44" s="76">
        <f>SUM(D46,D45)</f>
        <v>18767.2</v>
      </c>
      <c r="E44" s="84">
        <f>SUM(E46,E45)</f>
        <v>16189.699999999999</v>
      </c>
      <c r="F44" s="84">
        <f>SUM(F46,F45)</f>
        <v>17023.600000000002</v>
      </c>
    </row>
    <row r="45" spans="1:6" ht="18.75" customHeight="1">
      <c r="A45" s="121" t="s">
        <v>637</v>
      </c>
      <c r="B45" s="69" t="s">
        <v>794</v>
      </c>
      <c r="C45" s="69" t="s">
        <v>792</v>
      </c>
      <c r="D45" s="76">
        <f>'прил.14'!G252</f>
        <v>2018.4</v>
      </c>
      <c r="E45" s="84">
        <f>'прил.14'!H252</f>
        <v>2018.4</v>
      </c>
      <c r="F45" s="84">
        <f>'прил.14'!I252</f>
        <v>2018.4</v>
      </c>
    </row>
    <row r="46" spans="1:6" ht="18.75" customHeight="1">
      <c r="A46" s="116" t="s">
        <v>638</v>
      </c>
      <c r="B46" s="69" t="s">
        <v>794</v>
      </c>
      <c r="C46" s="69" t="s">
        <v>42</v>
      </c>
      <c r="D46" s="76">
        <f>'прил.14'!G256</f>
        <v>16748.8</v>
      </c>
      <c r="E46" s="84">
        <f>'прил.14'!H256</f>
        <v>14171.3</v>
      </c>
      <c r="F46" s="84">
        <f>'прил.14'!I256</f>
        <v>15005.2</v>
      </c>
    </row>
    <row r="47" spans="1:6" ht="16.5">
      <c r="A47" s="116" t="s">
        <v>116</v>
      </c>
      <c r="B47" s="69" t="s">
        <v>508</v>
      </c>
      <c r="C47" s="69"/>
      <c r="D47" s="76">
        <f>SUM(D48:D53)</f>
        <v>2294335.0000000005</v>
      </c>
      <c r="E47" s="84">
        <f>SUM(E48:E53)</f>
        <v>2049791.2000000002</v>
      </c>
      <c r="F47" s="84">
        <f>SUM(F48:F53)</f>
        <v>2092183.2</v>
      </c>
    </row>
    <row r="48" spans="1:6" ht="16.5">
      <c r="A48" s="116" t="s">
        <v>436</v>
      </c>
      <c r="B48" s="69" t="s">
        <v>508</v>
      </c>
      <c r="C48" s="69" t="s">
        <v>790</v>
      </c>
      <c r="D48" s="76">
        <f>'прил.14'!G269</f>
        <v>872919.7000000001</v>
      </c>
      <c r="E48" s="84">
        <f>'прил.14'!H269</f>
        <v>866592.7000000001</v>
      </c>
      <c r="F48" s="84">
        <f>'прил.14'!I269</f>
        <v>883803.5</v>
      </c>
    </row>
    <row r="49" spans="1:6" ht="16.5">
      <c r="A49" s="116" t="s">
        <v>641</v>
      </c>
      <c r="B49" s="69" t="s">
        <v>508</v>
      </c>
      <c r="C49" s="69" t="s">
        <v>791</v>
      </c>
      <c r="D49" s="76">
        <f>'прил.14'!G279</f>
        <v>1200932.1</v>
      </c>
      <c r="E49" s="84">
        <f>'прил.14'!H279</f>
        <v>1096402.5</v>
      </c>
      <c r="F49" s="84">
        <f>'прил.14'!I279</f>
        <v>1109789.6</v>
      </c>
    </row>
    <row r="50" spans="1:6" ht="16.5" hidden="1">
      <c r="A50" s="118" t="s">
        <v>24</v>
      </c>
      <c r="B50" s="69" t="s">
        <v>508</v>
      </c>
      <c r="C50" s="69" t="s">
        <v>792</v>
      </c>
      <c r="D50" s="76">
        <f>'прил.14'!G315</f>
        <v>0</v>
      </c>
      <c r="E50" s="84">
        <f>'прил.14'!H315</f>
        <v>0</v>
      </c>
      <c r="F50" s="84">
        <f>'прил.14'!I315</f>
        <v>0</v>
      </c>
    </row>
    <row r="51" spans="1:6" ht="33" customHeight="1" hidden="1">
      <c r="A51" s="116" t="s">
        <v>546</v>
      </c>
      <c r="B51" s="69" t="s">
        <v>508</v>
      </c>
      <c r="C51" s="69" t="s">
        <v>42</v>
      </c>
      <c r="D51" s="76">
        <f>'прил.14'!G319</f>
        <v>0</v>
      </c>
      <c r="E51" s="84">
        <f>'прил.14'!H319</f>
        <v>0</v>
      </c>
      <c r="F51" s="84">
        <f>'прил.14'!I319</f>
        <v>0</v>
      </c>
    </row>
    <row r="52" spans="1:6" ht="16.5">
      <c r="A52" s="116" t="s">
        <v>231</v>
      </c>
      <c r="B52" s="69" t="s">
        <v>508</v>
      </c>
      <c r="C52" s="69" t="s">
        <v>508</v>
      </c>
      <c r="D52" s="76">
        <f>'прил.14'!G325</f>
        <v>22776.6</v>
      </c>
      <c r="E52" s="84">
        <f>'прил.14'!H325</f>
        <v>13793.800000000001</v>
      </c>
      <c r="F52" s="84">
        <f>'прил.14'!I325</f>
        <v>19626.7</v>
      </c>
    </row>
    <row r="53" spans="1:6" ht="16.5">
      <c r="A53" s="116" t="s">
        <v>650</v>
      </c>
      <c r="B53" s="69" t="s">
        <v>508</v>
      </c>
      <c r="C53" s="69" t="s">
        <v>40</v>
      </c>
      <c r="D53" s="76">
        <f>'прил.14'!G349</f>
        <v>197706.6</v>
      </c>
      <c r="E53" s="84">
        <f>'прил.14'!H349</f>
        <v>73002.2</v>
      </c>
      <c r="F53" s="84">
        <f>'прил.14'!I349</f>
        <v>78963.4</v>
      </c>
    </row>
    <row r="54" spans="1:6" ht="17.25" customHeight="1">
      <c r="A54" s="116" t="s">
        <v>496</v>
      </c>
      <c r="B54" s="69" t="s">
        <v>43</v>
      </c>
      <c r="C54" s="69"/>
      <c r="D54" s="76">
        <f>SUM(D55:D56)</f>
        <v>222955.90000000002</v>
      </c>
      <c r="E54" s="84">
        <f>SUM(E55:E56)</f>
        <v>200270.50000000003</v>
      </c>
      <c r="F54" s="84">
        <f>SUM(F55:F56)</f>
        <v>203659.30000000002</v>
      </c>
    </row>
    <row r="55" spans="1:6" ht="18.75" customHeight="1">
      <c r="A55" s="116" t="s">
        <v>745</v>
      </c>
      <c r="B55" s="69" t="s">
        <v>43</v>
      </c>
      <c r="C55" s="69" t="s">
        <v>790</v>
      </c>
      <c r="D55" s="76">
        <f>'прил.14'!G407</f>
        <v>209583.00000000003</v>
      </c>
      <c r="E55" s="84">
        <f>'прил.14'!H407</f>
        <v>186702.40000000002</v>
      </c>
      <c r="F55" s="84">
        <f>'прил.14'!I407</f>
        <v>189904.90000000002</v>
      </c>
    </row>
    <row r="56" spans="1:23" s="19" customFormat="1" ht="17.25" customHeight="1">
      <c r="A56" s="116" t="s">
        <v>663</v>
      </c>
      <c r="B56" s="69" t="s">
        <v>43</v>
      </c>
      <c r="C56" s="69" t="s">
        <v>793</v>
      </c>
      <c r="D56" s="76">
        <f>'прил.14'!G444</f>
        <v>13372.9</v>
      </c>
      <c r="E56" s="84">
        <f>'прил.14'!H444</f>
        <v>13568.100000000002</v>
      </c>
      <c r="F56" s="84">
        <f>'прил.14'!I444</f>
        <v>13754.400000000001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s="20" customFormat="1" ht="16.5">
      <c r="A57" s="116" t="s">
        <v>488</v>
      </c>
      <c r="B57" s="69" t="s">
        <v>40</v>
      </c>
      <c r="C57" s="69"/>
      <c r="D57" s="76">
        <f>SUM(D58:D63)</f>
        <v>381714.4</v>
      </c>
      <c r="E57" s="84">
        <f>SUM(E58:E63)</f>
        <v>294968.7</v>
      </c>
      <c r="F57" s="84">
        <f>SUM(F58:F63)</f>
        <v>283669.2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ht="18.75" customHeight="1">
      <c r="A58" s="116" t="s">
        <v>543</v>
      </c>
      <c r="B58" s="69" t="s">
        <v>40</v>
      </c>
      <c r="C58" s="69" t="s">
        <v>790</v>
      </c>
      <c r="D58" s="76">
        <f>'прил.14'!G472</f>
        <v>166789.90000000002</v>
      </c>
      <c r="E58" s="84">
        <f>'прил.14'!H472</f>
        <v>81762.2</v>
      </c>
      <c r="F58" s="84">
        <f>'прил.14'!I472</f>
        <v>87590.7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ht="21.75" customHeight="1">
      <c r="A59" s="116" t="s">
        <v>666</v>
      </c>
      <c r="B59" s="69" t="s">
        <v>40</v>
      </c>
      <c r="C59" s="69" t="s">
        <v>791</v>
      </c>
      <c r="D59" s="76">
        <f>'прил.14'!G486</f>
        <v>46616.6</v>
      </c>
      <c r="E59" s="84">
        <f>'прил.14'!H486</f>
        <v>43987.1</v>
      </c>
      <c r="F59" s="84">
        <f>'прил.14'!I486</f>
        <v>46743.7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s="17" customFormat="1" ht="19.5" customHeight="1">
      <c r="A60" s="116" t="s">
        <v>668</v>
      </c>
      <c r="B60" s="81" t="s">
        <v>40</v>
      </c>
      <c r="C60" s="81" t="s">
        <v>792</v>
      </c>
      <c r="D60" s="82">
        <f>'прил.14'!G500</f>
        <v>2882.1</v>
      </c>
      <c r="E60" s="99">
        <f>'прил.14'!H500</f>
        <v>3100.9</v>
      </c>
      <c r="F60" s="99">
        <f>'прил.14'!I500</f>
        <v>3341.2999999999997</v>
      </c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</row>
    <row r="61" spans="1:23" s="25" customFormat="1" ht="21.75" customHeight="1">
      <c r="A61" s="119" t="s">
        <v>669</v>
      </c>
      <c r="B61" s="81" t="s">
        <v>40</v>
      </c>
      <c r="C61" s="81" t="s">
        <v>793</v>
      </c>
      <c r="D61" s="82">
        <f>'прил.14'!G511</f>
        <v>126600.90000000001</v>
      </c>
      <c r="E61" s="99">
        <f>'прил.14'!H511</f>
        <v>123445.3</v>
      </c>
      <c r="F61" s="99">
        <f>'прил.14'!I511</f>
        <v>105263.1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</row>
    <row r="62" spans="1:23" s="20" customFormat="1" ht="21" customHeight="1">
      <c r="A62" s="119" t="s">
        <v>672</v>
      </c>
      <c r="B62" s="69" t="s">
        <v>40</v>
      </c>
      <c r="C62" s="69" t="s">
        <v>42</v>
      </c>
      <c r="D62" s="76">
        <f>'прил.14'!G520</f>
        <v>7488.099999999999</v>
      </c>
      <c r="E62" s="84">
        <f>'прил.14'!H520</f>
        <v>7526.7</v>
      </c>
      <c r="F62" s="84">
        <f>'прил.14'!I520</f>
        <v>7697.7</v>
      </c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6" s="11" customFormat="1" ht="18" customHeight="1">
      <c r="A63" s="119" t="s">
        <v>674</v>
      </c>
      <c r="B63" s="69" t="s">
        <v>40</v>
      </c>
      <c r="C63" s="69" t="s">
        <v>40</v>
      </c>
      <c r="D63" s="76">
        <f>'прил.14'!G526</f>
        <v>31336.800000000003</v>
      </c>
      <c r="E63" s="84">
        <f>'прил.14'!H526</f>
        <v>35146.5</v>
      </c>
      <c r="F63" s="84">
        <f>'прил.14'!I526</f>
        <v>33032.7</v>
      </c>
    </row>
    <row r="64" spans="1:6" ht="16.5">
      <c r="A64" s="116" t="s">
        <v>470</v>
      </c>
      <c r="B64" s="69" t="s">
        <v>471</v>
      </c>
      <c r="C64" s="69"/>
      <c r="D64" s="76">
        <f>SUM(D65:D69)</f>
        <v>994874.9</v>
      </c>
      <c r="E64" s="84">
        <f>SUM(E65:E69)</f>
        <v>868260.5</v>
      </c>
      <c r="F64" s="84">
        <f>SUM(F65:F69)</f>
        <v>882787.7000000001</v>
      </c>
    </row>
    <row r="65" spans="1:6" ht="16.5">
      <c r="A65" s="116" t="s">
        <v>746</v>
      </c>
      <c r="B65" s="69" t="s">
        <v>471</v>
      </c>
      <c r="C65" s="69" t="s">
        <v>790</v>
      </c>
      <c r="D65" s="76">
        <f>'прил.14'!G563</f>
        <v>6423.6</v>
      </c>
      <c r="E65" s="84">
        <f>'прил.14'!H563</f>
        <v>6500</v>
      </c>
      <c r="F65" s="84">
        <f>'прил.14'!I563</f>
        <v>6500</v>
      </c>
    </row>
    <row r="66" spans="1:6" ht="16.5" hidden="1">
      <c r="A66" s="116" t="s">
        <v>168</v>
      </c>
      <c r="B66" s="69" t="s">
        <v>471</v>
      </c>
      <c r="C66" s="69" t="s">
        <v>791</v>
      </c>
      <c r="D66" s="76">
        <f>'прил.14'!G567</f>
        <v>0</v>
      </c>
      <c r="E66" s="84">
        <f>'прил.14'!H567</f>
        <v>0</v>
      </c>
      <c r="F66" s="84">
        <f>'прил.14'!I567</f>
        <v>0</v>
      </c>
    </row>
    <row r="67" spans="1:6" ht="16.5">
      <c r="A67" s="116" t="s">
        <v>373</v>
      </c>
      <c r="B67" s="69" t="s">
        <v>471</v>
      </c>
      <c r="C67" s="69" t="s">
        <v>792</v>
      </c>
      <c r="D67" s="76">
        <f>'прил.14'!G574</f>
        <v>879536.1</v>
      </c>
      <c r="E67" s="84">
        <f>'прил.14'!H574</f>
        <v>762071.7</v>
      </c>
      <c r="F67" s="84">
        <f>'прил.14'!I574</f>
        <v>775738.5</v>
      </c>
    </row>
    <row r="68" spans="1:6" ht="16.5">
      <c r="A68" s="118" t="s">
        <v>747</v>
      </c>
      <c r="B68" s="69" t="s">
        <v>471</v>
      </c>
      <c r="C68" s="69" t="s">
        <v>793</v>
      </c>
      <c r="D68" s="76">
        <f>'прил.14'!G613</f>
        <v>79701.9</v>
      </c>
      <c r="E68" s="84">
        <f>'прил.14'!H613</f>
        <v>75716.8</v>
      </c>
      <c r="F68" s="84">
        <f>'прил.14'!I613</f>
        <v>75716.8</v>
      </c>
    </row>
    <row r="69" spans="1:6" ht="18" customHeight="1">
      <c r="A69" s="116" t="s">
        <v>727</v>
      </c>
      <c r="B69" s="69" t="s">
        <v>471</v>
      </c>
      <c r="C69" s="69" t="s">
        <v>794</v>
      </c>
      <c r="D69" s="76">
        <f>'прил.14'!G619</f>
        <v>29213.3</v>
      </c>
      <c r="E69" s="84">
        <f>'прил.14'!H619</f>
        <v>23971.999999999996</v>
      </c>
      <c r="F69" s="84">
        <f>'прил.14'!I619</f>
        <v>24832.399999999998</v>
      </c>
    </row>
    <row r="70" spans="1:6" ht="18" customHeight="1">
      <c r="A70" s="116" t="s">
        <v>490</v>
      </c>
      <c r="B70" s="69" t="s">
        <v>45</v>
      </c>
      <c r="C70" s="69"/>
      <c r="D70" s="76">
        <f>SUM(D71:D74)</f>
        <v>286181.5</v>
      </c>
      <c r="E70" s="84">
        <f>SUM(E71:E74)</f>
        <v>277429.8</v>
      </c>
      <c r="F70" s="84">
        <f>SUM(F71:F74)</f>
        <v>283773</v>
      </c>
    </row>
    <row r="71" spans="1:6" ht="18" customHeight="1">
      <c r="A71" s="116" t="s">
        <v>730</v>
      </c>
      <c r="B71" s="69" t="s">
        <v>45</v>
      </c>
      <c r="C71" s="69" t="s">
        <v>790</v>
      </c>
      <c r="D71" s="76">
        <f>'прил.14'!G646</f>
        <v>178616.2</v>
      </c>
      <c r="E71" s="84">
        <f>'прил.14'!H646</f>
        <v>171434.1</v>
      </c>
      <c r="F71" s="84">
        <f>'прил.14'!I646</f>
        <v>177769.5</v>
      </c>
    </row>
    <row r="72" spans="1:6" ht="18" customHeight="1" hidden="1">
      <c r="A72" s="116" t="s">
        <v>736</v>
      </c>
      <c r="B72" s="69" t="s">
        <v>45</v>
      </c>
      <c r="C72" s="69" t="s">
        <v>791</v>
      </c>
      <c r="D72" s="76">
        <f>'прил.14'!G656</f>
        <v>820</v>
      </c>
      <c r="E72" s="84">
        <f>'прил.14'!H656</f>
        <v>0</v>
      </c>
      <c r="F72" s="84">
        <f>'прил.14'!I656</f>
        <v>0</v>
      </c>
    </row>
    <row r="73" spans="1:6" ht="18" customHeight="1">
      <c r="A73" s="119" t="s">
        <v>737</v>
      </c>
      <c r="B73" s="69" t="s">
        <v>45</v>
      </c>
      <c r="C73" s="69" t="s">
        <v>792</v>
      </c>
      <c r="D73" s="76">
        <f>'прил.14'!G659</f>
        <v>100000</v>
      </c>
      <c r="E73" s="84">
        <f>'прил.14'!H659</f>
        <v>100000</v>
      </c>
      <c r="F73" s="84">
        <f>'прил.14'!I659</f>
        <v>100000</v>
      </c>
    </row>
    <row r="74" spans="1:6" ht="18" customHeight="1">
      <c r="A74" s="116" t="s">
        <v>740</v>
      </c>
      <c r="B74" s="69" t="s">
        <v>45</v>
      </c>
      <c r="C74" s="69" t="s">
        <v>42</v>
      </c>
      <c r="D74" s="76">
        <f>'прил.14'!G664</f>
        <v>6745.3</v>
      </c>
      <c r="E74" s="84">
        <f>'прил.14'!H664</f>
        <v>5995.700000000001</v>
      </c>
      <c r="F74" s="84">
        <f>'прил.14'!I664</f>
        <v>6003.5</v>
      </c>
    </row>
    <row r="75" spans="1:6" ht="18" customHeight="1">
      <c r="A75" s="116" t="s">
        <v>493</v>
      </c>
      <c r="B75" s="69" t="s">
        <v>509</v>
      </c>
      <c r="C75" s="69"/>
      <c r="D75" s="76">
        <f>SUM(D76:D76)</f>
        <v>32768.4</v>
      </c>
      <c r="E75" s="84">
        <f>SUM(E76:E76)</f>
        <v>30216.7</v>
      </c>
      <c r="F75" s="84">
        <f>SUM(F76:F76)</f>
        <v>30286</v>
      </c>
    </row>
    <row r="76" spans="1:6" ht="18" customHeight="1">
      <c r="A76" s="116" t="s">
        <v>741</v>
      </c>
      <c r="B76" s="69" t="s">
        <v>509</v>
      </c>
      <c r="C76" s="69" t="s">
        <v>791</v>
      </c>
      <c r="D76" s="76">
        <f>'прил.14'!G675</f>
        <v>32768.4</v>
      </c>
      <c r="E76" s="84">
        <f>'прил.14'!H674</f>
        <v>30216.7</v>
      </c>
      <c r="F76" s="84">
        <f>'прил.14'!I675</f>
        <v>30286</v>
      </c>
    </row>
    <row r="77" spans="1:6" ht="24" customHeight="1">
      <c r="A77" s="116" t="s">
        <v>494</v>
      </c>
      <c r="B77" s="69" t="s">
        <v>487</v>
      </c>
      <c r="C77" s="69"/>
      <c r="D77" s="76">
        <f>SUM(D78)</f>
        <v>26875</v>
      </c>
      <c r="E77" s="84">
        <f>SUM(E78)</f>
        <v>17690</v>
      </c>
      <c r="F77" s="84">
        <f>SUM(F78)</f>
        <v>7893</v>
      </c>
    </row>
    <row r="78" spans="1:6" ht="18.75" customHeight="1">
      <c r="A78" s="116" t="s">
        <v>748</v>
      </c>
      <c r="B78" s="69" t="s">
        <v>487</v>
      </c>
      <c r="C78" s="69" t="s">
        <v>790</v>
      </c>
      <c r="D78" s="76">
        <f>'прил.14'!G686</f>
        <v>26875</v>
      </c>
      <c r="E78" s="84">
        <f>'прил.14'!H686</f>
        <v>17690</v>
      </c>
      <c r="F78" s="84">
        <f>'прил.14'!I686</f>
        <v>7893</v>
      </c>
    </row>
    <row r="79" spans="1:6" s="16" customFormat="1" ht="16.5">
      <c r="A79" s="122" t="s">
        <v>298</v>
      </c>
      <c r="B79" s="72"/>
      <c r="C79" s="72"/>
      <c r="D79" s="73">
        <f>D22+D31+D35+D39+D44+D47+D54+D57+D64+D70+D75+D77</f>
        <v>5997705.400000002</v>
      </c>
      <c r="E79" s="151">
        <f>E22+E31+E35+E39+E44+E47+E54+E57+E64+E70+E75+E77</f>
        <v>5170957.8</v>
      </c>
      <c r="F79" s="151">
        <f>F22+F31+F35+F39+F44+F47+F54+F57+F64+F70+F75+F77</f>
        <v>4832155.399999999</v>
      </c>
    </row>
    <row r="80" spans="1:6" s="16" customFormat="1" ht="16.5">
      <c r="A80" s="122" t="s">
        <v>8</v>
      </c>
      <c r="B80" s="72"/>
      <c r="C80" s="72"/>
      <c r="D80" s="73"/>
      <c r="E80" s="151">
        <f>'прил.14'!H690</f>
        <v>1118472</v>
      </c>
      <c r="F80" s="151">
        <f>'прил.14'!I690</f>
        <v>1133667.0000000002</v>
      </c>
    </row>
    <row r="81" spans="1:6" s="16" customFormat="1" ht="16.5">
      <c r="A81" s="122" t="s">
        <v>9</v>
      </c>
      <c r="B81" s="72"/>
      <c r="C81" s="72"/>
      <c r="D81" s="73"/>
      <c r="E81" s="151">
        <f>E79+E80</f>
        <v>6289429.8</v>
      </c>
      <c r="F81" s="151">
        <f>F79+F80</f>
        <v>5965822.399999999</v>
      </c>
    </row>
    <row r="82" spans="1:6" ht="12.75">
      <c r="A82" s="123"/>
      <c r="B82" s="74"/>
      <c r="C82" s="74"/>
      <c r="D82" s="74"/>
      <c r="E82" s="115"/>
      <c r="F82" s="115"/>
    </row>
    <row r="83" spans="4:6" ht="1.5" customHeight="1">
      <c r="D83" s="5">
        <f>D79-'прил.14'!G689</f>
        <v>0</v>
      </c>
      <c r="E83" s="5">
        <f>'прил.14'!H691-'прил.12'!E81</f>
        <v>0</v>
      </c>
      <c r="F83" s="5">
        <f>'прил.14'!I691-'прил.12'!F81</f>
        <v>0</v>
      </c>
    </row>
    <row r="84" spans="5:6" ht="12.75">
      <c r="E84" s="5"/>
      <c r="F84" s="5"/>
    </row>
    <row r="85" spans="5:6" ht="12.75">
      <c r="E85" s="5"/>
      <c r="F85" s="5"/>
    </row>
    <row r="86" spans="5:6" ht="12.75">
      <c r="E86" s="5"/>
      <c r="F86" s="5"/>
    </row>
    <row r="87" spans="5:6" ht="12.75">
      <c r="E87" s="5"/>
      <c r="F87" s="5"/>
    </row>
    <row r="88" spans="5:6" ht="12.75">
      <c r="E88" s="5"/>
      <c r="F88" s="5"/>
    </row>
    <row r="89" spans="5:6" ht="12.75">
      <c r="E89" s="5"/>
      <c r="F89" s="5"/>
    </row>
  </sheetData>
  <mergeCells count="8">
    <mergeCell ref="A13:F13"/>
    <mergeCell ref="E19:F19"/>
    <mergeCell ref="A15:F15"/>
    <mergeCell ref="A14:F14"/>
    <mergeCell ref="A19:A20"/>
    <mergeCell ref="B19:B20"/>
    <mergeCell ref="C19:C20"/>
    <mergeCell ref="D19:D20"/>
  </mergeCells>
  <printOptions/>
  <pageMargins left="1.1811023622047245" right="0.3937007874015748" top="0.7874015748031497" bottom="0.3937007874015748" header="0.5118110236220472" footer="0.5118110236220472"/>
  <pageSetup fitToHeight="2" fitToWidth="1" horizontalDpi="600" verticalDpi="600" orientation="portrait" paperSize="9" scale="61" r:id="rId1"/>
  <headerFooter alignWithMargins="0">
    <oddHeader>&amp;C&amp;P</oddHeader>
  </headerFooter>
  <rowBreaks count="1" manualBreakCount="1">
    <brk id="8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4"/>
  <sheetViews>
    <sheetView showZeros="0" tabSelected="1" view="pageBreakPreview" zoomScale="85" zoomScaleNormal="75" zoomScaleSheetLayoutView="85" workbookViewId="0" topLeftCell="A158">
      <selection activeCell="A230" sqref="A230"/>
    </sheetView>
  </sheetViews>
  <sheetFormatPr defaultColWidth="8.875" defaultRowHeight="12.75"/>
  <cols>
    <col min="1" max="1" width="81.00390625" style="0" customWidth="1"/>
    <col min="2" max="2" width="5.25390625" style="0" hidden="1" customWidth="1"/>
    <col min="3" max="3" width="9.00390625" style="0" customWidth="1"/>
    <col min="4" max="4" width="6.75390625" style="0" customWidth="1"/>
    <col min="5" max="5" width="12.00390625" style="0" customWidth="1"/>
    <col min="6" max="6" width="6.25390625" style="0" customWidth="1"/>
    <col min="7" max="7" width="15.25390625" style="0" hidden="1" customWidth="1"/>
    <col min="8" max="8" width="14.875" style="0" customWidth="1"/>
    <col min="9" max="9" width="15.875" style="0" customWidth="1"/>
  </cols>
  <sheetData>
    <row r="1" spans="8:23" ht="16.5">
      <c r="H1" s="1" t="s">
        <v>593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8:23" ht="16.5">
      <c r="H2" s="1" t="s">
        <v>148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8:23" ht="16.5">
      <c r="H3" s="1" t="s">
        <v>147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8:23" ht="16.5">
      <c r="H4" s="1" t="s">
        <v>462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9:23" ht="18" customHeight="1"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16.5">
      <c r="A6" s="14"/>
      <c r="B6" s="14"/>
      <c r="C6" s="14"/>
      <c r="D6" s="14"/>
      <c r="E6" s="14"/>
      <c r="F6" s="1"/>
      <c r="G6" s="14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5" customHeight="1">
      <c r="A7" s="165" t="s">
        <v>594</v>
      </c>
      <c r="B7" s="166"/>
      <c r="C7" s="166"/>
      <c r="D7" s="166"/>
      <c r="E7" s="166"/>
      <c r="F7" s="166"/>
      <c r="G7" s="166"/>
      <c r="H7" s="166"/>
      <c r="I7" s="166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ht="18" customHeight="1">
      <c r="A8" s="155" t="s">
        <v>596</v>
      </c>
      <c r="B8" s="156"/>
      <c r="C8" s="156"/>
      <c r="D8" s="156"/>
      <c r="E8" s="156"/>
      <c r="F8" s="156"/>
      <c r="G8" s="156"/>
      <c r="H8" s="156"/>
      <c r="I8" s="156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ht="17.25" customHeight="1">
      <c r="A9" s="155" t="s">
        <v>597</v>
      </c>
      <c r="B9" s="156"/>
      <c r="C9" s="156"/>
      <c r="D9" s="156"/>
      <c r="E9" s="156"/>
      <c r="F9" s="156"/>
      <c r="G9" s="156"/>
      <c r="H9" s="156"/>
      <c r="I9" s="156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9.5" customHeight="1" hidden="1">
      <c r="A10" s="10"/>
      <c r="B10" s="10"/>
      <c r="C10" s="10"/>
      <c r="D10" s="10"/>
      <c r="E10" s="10"/>
      <c r="F10" s="10"/>
      <c r="G10" s="10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6.5" hidden="1">
      <c r="A11" s="13"/>
      <c r="B11" s="13"/>
      <c r="C11" s="13"/>
      <c r="D11" s="13"/>
      <c r="E11" s="13"/>
      <c r="F11" s="13"/>
      <c r="G11" s="15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15" customHeight="1">
      <c r="A12" s="13"/>
      <c r="B12" s="13"/>
      <c r="C12" s="13"/>
      <c r="D12" s="13"/>
      <c r="E12" s="13"/>
      <c r="F12" s="13"/>
      <c r="G12" s="13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16.5" customHeight="1">
      <c r="A13" s="10" t="s">
        <v>785</v>
      </c>
      <c r="B13" s="10"/>
      <c r="C13" s="10"/>
      <c r="D13" s="10"/>
      <c r="E13" s="10"/>
      <c r="F13" s="10"/>
      <c r="G13" s="29" t="s">
        <v>486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s="18" customFormat="1" ht="21.75" customHeight="1">
      <c r="A14" s="167" t="s">
        <v>786</v>
      </c>
      <c r="B14" s="12"/>
      <c r="C14" s="167" t="s">
        <v>787</v>
      </c>
      <c r="D14" s="167" t="s">
        <v>48</v>
      </c>
      <c r="E14" s="167" t="s">
        <v>49</v>
      </c>
      <c r="F14" s="167" t="s">
        <v>50</v>
      </c>
      <c r="G14" s="26" t="s">
        <v>240</v>
      </c>
      <c r="H14" s="157" t="s">
        <v>587</v>
      </c>
      <c r="I14" s="15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</row>
    <row r="15" spans="1:23" s="18" customFormat="1" ht="24.75" customHeight="1">
      <c r="A15" s="168"/>
      <c r="B15" s="12"/>
      <c r="C15" s="168"/>
      <c r="D15" s="168"/>
      <c r="E15" s="168"/>
      <c r="F15" s="168"/>
      <c r="G15" s="26"/>
      <c r="H15" s="70" t="s">
        <v>241</v>
      </c>
      <c r="I15" s="71" t="s">
        <v>242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1:23" ht="16.5">
      <c r="A16" s="116" t="s">
        <v>789</v>
      </c>
      <c r="B16" s="83"/>
      <c r="C16" s="69" t="s">
        <v>790</v>
      </c>
      <c r="D16" s="69"/>
      <c r="E16" s="69"/>
      <c r="F16" s="69"/>
      <c r="G16" s="84">
        <f>G17+G21+G29+G40+G43+G50+G54+G58</f>
        <v>302014.3</v>
      </c>
      <c r="H16" s="84">
        <f>H17+H21+H29+H40+H43+H50+H54+H58</f>
        <v>273895.1</v>
      </c>
      <c r="I16" s="84">
        <f>I17+I21+I29+I40+I43+I50+I54+I58</f>
        <v>276979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35.25" customHeight="1">
      <c r="A17" s="117" t="s">
        <v>21</v>
      </c>
      <c r="B17" s="75"/>
      <c r="C17" s="69" t="s">
        <v>790</v>
      </c>
      <c r="D17" s="69" t="s">
        <v>791</v>
      </c>
      <c r="E17" s="69"/>
      <c r="F17" s="69"/>
      <c r="G17" s="84">
        <f>G18</f>
        <v>2114.3</v>
      </c>
      <c r="H17" s="84">
        <f aca="true" t="shared" si="0" ref="H17:I19">H18</f>
        <v>2114.3</v>
      </c>
      <c r="I17" s="84">
        <f t="shared" si="0"/>
        <v>2114.3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50.25" customHeight="1">
      <c r="A18" s="118" t="s">
        <v>26</v>
      </c>
      <c r="B18" s="85"/>
      <c r="C18" s="69" t="s">
        <v>790</v>
      </c>
      <c r="D18" s="69" t="s">
        <v>791</v>
      </c>
      <c r="E18" s="69" t="s">
        <v>27</v>
      </c>
      <c r="F18" s="69"/>
      <c r="G18" s="84">
        <f>G19</f>
        <v>2114.3</v>
      </c>
      <c r="H18" s="84">
        <f t="shared" si="0"/>
        <v>2114.3</v>
      </c>
      <c r="I18" s="84">
        <f t="shared" si="0"/>
        <v>2114.3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6.5">
      <c r="A19" s="118" t="s">
        <v>583</v>
      </c>
      <c r="B19" s="86"/>
      <c r="C19" s="69" t="s">
        <v>790</v>
      </c>
      <c r="D19" s="69" t="s">
        <v>791</v>
      </c>
      <c r="E19" s="69" t="s">
        <v>28</v>
      </c>
      <c r="F19" s="69"/>
      <c r="G19" s="84">
        <f>G20</f>
        <v>2114.3</v>
      </c>
      <c r="H19" s="84">
        <f t="shared" si="0"/>
        <v>2114.3</v>
      </c>
      <c r="I19" s="84">
        <f t="shared" si="0"/>
        <v>2114.3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16.5">
      <c r="A20" s="118" t="s">
        <v>346</v>
      </c>
      <c r="B20" s="78"/>
      <c r="C20" s="69" t="s">
        <v>790</v>
      </c>
      <c r="D20" s="69" t="s">
        <v>791</v>
      </c>
      <c r="E20" s="69" t="s">
        <v>28</v>
      </c>
      <c r="F20" s="69" t="s">
        <v>197</v>
      </c>
      <c r="G20" s="84">
        <f>'прил.16'!G21</f>
        <v>2114.3</v>
      </c>
      <c r="H20" s="84">
        <f>'прил.16'!H21</f>
        <v>2114.3</v>
      </c>
      <c r="I20" s="84">
        <f>'прил.16'!I21</f>
        <v>2114.3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ht="50.25" customHeight="1">
      <c r="A21" s="116" t="s">
        <v>584</v>
      </c>
      <c r="B21" s="75"/>
      <c r="C21" s="87" t="s">
        <v>790</v>
      </c>
      <c r="D21" s="87" t="s">
        <v>792</v>
      </c>
      <c r="E21" s="87"/>
      <c r="F21" s="69"/>
      <c r="G21" s="84">
        <f>G22</f>
        <v>18178.5</v>
      </c>
      <c r="H21" s="84">
        <f>H22</f>
        <v>17403</v>
      </c>
      <c r="I21" s="84">
        <f>I22</f>
        <v>17446.5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48.75" customHeight="1">
      <c r="A22" s="118" t="s">
        <v>26</v>
      </c>
      <c r="B22" s="85"/>
      <c r="C22" s="69" t="s">
        <v>790</v>
      </c>
      <c r="D22" s="69" t="s">
        <v>792</v>
      </c>
      <c r="E22" s="69" t="s">
        <v>27</v>
      </c>
      <c r="F22" s="69"/>
      <c r="G22" s="84">
        <f>G23+G25+G27</f>
        <v>18178.5</v>
      </c>
      <c r="H22" s="84">
        <f>H23+H25+H27</f>
        <v>17403</v>
      </c>
      <c r="I22" s="84">
        <f>I23+I25+I27</f>
        <v>17446.5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18" customHeight="1">
      <c r="A23" s="118" t="s">
        <v>560</v>
      </c>
      <c r="B23" s="86"/>
      <c r="C23" s="69" t="s">
        <v>790</v>
      </c>
      <c r="D23" s="69" t="s">
        <v>792</v>
      </c>
      <c r="E23" s="69" t="s">
        <v>29</v>
      </c>
      <c r="F23" s="69"/>
      <c r="G23" s="84">
        <f>G24</f>
        <v>13569.1</v>
      </c>
      <c r="H23" s="84">
        <f>H24</f>
        <v>12793.6</v>
      </c>
      <c r="I23" s="84">
        <f>I24</f>
        <v>12837.1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16.5">
      <c r="A24" s="118" t="s">
        <v>346</v>
      </c>
      <c r="B24" s="78"/>
      <c r="C24" s="69" t="s">
        <v>790</v>
      </c>
      <c r="D24" s="69" t="s">
        <v>792</v>
      </c>
      <c r="E24" s="69" t="s">
        <v>29</v>
      </c>
      <c r="F24" s="69" t="s">
        <v>197</v>
      </c>
      <c r="G24" s="84">
        <f>'прил.16'!G162</f>
        <v>13569.1</v>
      </c>
      <c r="H24" s="84">
        <f>'прил.16'!H162</f>
        <v>12793.6</v>
      </c>
      <c r="I24" s="84">
        <f>'прил.16'!I162</f>
        <v>12837.1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8" customHeight="1">
      <c r="A25" s="118" t="s">
        <v>294</v>
      </c>
      <c r="B25" s="78"/>
      <c r="C25" s="69" t="s">
        <v>790</v>
      </c>
      <c r="D25" s="69" t="s">
        <v>792</v>
      </c>
      <c r="E25" s="69" t="s">
        <v>384</v>
      </c>
      <c r="F25" s="69"/>
      <c r="G25" s="84">
        <f>G26</f>
        <v>1725</v>
      </c>
      <c r="H25" s="84">
        <f>H26</f>
        <v>1725</v>
      </c>
      <c r="I25" s="84">
        <f>I26</f>
        <v>1725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7.25" customHeight="1">
      <c r="A26" s="118" t="s">
        <v>346</v>
      </c>
      <c r="B26" s="78"/>
      <c r="C26" s="87" t="s">
        <v>790</v>
      </c>
      <c r="D26" s="87" t="s">
        <v>792</v>
      </c>
      <c r="E26" s="69" t="s">
        <v>384</v>
      </c>
      <c r="F26" s="69" t="s">
        <v>197</v>
      </c>
      <c r="G26" s="84">
        <f>'прил.16'!G164</f>
        <v>1725</v>
      </c>
      <c r="H26" s="84">
        <f>'прил.16'!H164</f>
        <v>1725</v>
      </c>
      <c r="I26" s="84">
        <f>'прил.16'!I164</f>
        <v>1725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8.75" customHeight="1">
      <c r="A27" s="118" t="s">
        <v>295</v>
      </c>
      <c r="B27" s="78"/>
      <c r="C27" s="87" t="s">
        <v>790</v>
      </c>
      <c r="D27" s="87" t="s">
        <v>792</v>
      </c>
      <c r="E27" s="69" t="s">
        <v>385</v>
      </c>
      <c r="F27" s="69"/>
      <c r="G27" s="84">
        <f>G28</f>
        <v>2884.4</v>
      </c>
      <c r="H27" s="84">
        <f>H28</f>
        <v>2884.4</v>
      </c>
      <c r="I27" s="84">
        <f>I28</f>
        <v>2884.4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6.5" customHeight="1">
      <c r="A28" s="118" t="s">
        <v>346</v>
      </c>
      <c r="B28" s="78"/>
      <c r="C28" s="87" t="s">
        <v>790</v>
      </c>
      <c r="D28" s="87" t="s">
        <v>792</v>
      </c>
      <c r="E28" s="69" t="s">
        <v>385</v>
      </c>
      <c r="F28" s="69" t="s">
        <v>197</v>
      </c>
      <c r="G28" s="84">
        <f>'прил.16'!G166</f>
        <v>2884.4</v>
      </c>
      <c r="H28" s="84">
        <f>'прил.16'!H166</f>
        <v>2884.4</v>
      </c>
      <c r="I28" s="84">
        <f>'прил.16'!I166</f>
        <v>2884.4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52.5" customHeight="1">
      <c r="A29" s="118" t="s">
        <v>30</v>
      </c>
      <c r="B29" s="85"/>
      <c r="C29" s="69" t="s">
        <v>790</v>
      </c>
      <c r="D29" s="69" t="s">
        <v>793</v>
      </c>
      <c r="E29" s="69"/>
      <c r="F29" s="69"/>
      <c r="G29" s="84">
        <f>G30+G33</f>
        <v>93195.7</v>
      </c>
      <c r="H29" s="84">
        <f>H30+H33</f>
        <v>90310</v>
      </c>
      <c r="I29" s="84">
        <f>I30+I33</f>
        <v>90561.70000000001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ht="54" customHeight="1">
      <c r="A30" s="118" t="s">
        <v>26</v>
      </c>
      <c r="B30" s="85"/>
      <c r="C30" s="69" t="s">
        <v>790</v>
      </c>
      <c r="D30" s="69" t="s">
        <v>793</v>
      </c>
      <c r="E30" s="69" t="s">
        <v>27</v>
      </c>
      <c r="F30" s="69"/>
      <c r="G30" s="84">
        <f aca="true" t="shared" si="1" ref="G30:I31">G31</f>
        <v>91568.5</v>
      </c>
      <c r="H30" s="84">
        <f t="shared" si="1"/>
        <v>88764.7</v>
      </c>
      <c r="I30" s="84">
        <f t="shared" si="1"/>
        <v>89016.40000000001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ht="16.5">
      <c r="A31" s="118" t="s">
        <v>560</v>
      </c>
      <c r="B31" s="86"/>
      <c r="C31" s="69" t="s">
        <v>790</v>
      </c>
      <c r="D31" s="69" t="s">
        <v>793</v>
      </c>
      <c r="E31" s="69" t="s">
        <v>29</v>
      </c>
      <c r="F31" s="69"/>
      <c r="G31" s="84">
        <f t="shared" si="1"/>
        <v>91568.5</v>
      </c>
      <c r="H31" s="84">
        <f t="shared" si="1"/>
        <v>88764.7</v>
      </c>
      <c r="I31" s="84">
        <f t="shared" si="1"/>
        <v>89016.40000000001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ht="16.5" customHeight="1">
      <c r="A32" s="118" t="s">
        <v>346</v>
      </c>
      <c r="B32" s="78"/>
      <c r="C32" s="69" t="s">
        <v>790</v>
      </c>
      <c r="D32" s="69" t="s">
        <v>793</v>
      </c>
      <c r="E32" s="69" t="s">
        <v>29</v>
      </c>
      <c r="F32" s="69" t="s">
        <v>197</v>
      </c>
      <c r="G32" s="84">
        <f>'прил.16'!G25</f>
        <v>91568.5</v>
      </c>
      <c r="H32" s="84">
        <f>'прил.16'!H25</f>
        <v>88764.7</v>
      </c>
      <c r="I32" s="84">
        <f>'прил.16'!I25</f>
        <v>89016.40000000001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ht="16.5" customHeight="1">
      <c r="A33" s="124" t="s">
        <v>609</v>
      </c>
      <c r="B33" s="78"/>
      <c r="C33" s="87" t="s">
        <v>790</v>
      </c>
      <c r="D33" s="87" t="s">
        <v>793</v>
      </c>
      <c r="E33" s="87" t="s">
        <v>15</v>
      </c>
      <c r="F33" s="87"/>
      <c r="G33" s="84">
        <f>G34+G36+G38</f>
        <v>1627.2</v>
      </c>
      <c r="H33" s="84">
        <f>H34+H36+H38</f>
        <v>1545.3</v>
      </c>
      <c r="I33" s="84">
        <f>I34+I36+I38</f>
        <v>1545.3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54" customHeight="1">
      <c r="A34" s="124" t="s">
        <v>812</v>
      </c>
      <c r="B34" s="78"/>
      <c r="C34" s="87" t="s">
        <v>790</v>
      </c>
      <c r="D34" s="87" t="s">
        <v>793</v>
      </c>
      <c r="E34" s="87" t="s">
        <v>334</v>
      </c>
      <c r="F34" s="87"/>
      <c r="G34" s="84">
        <f>G35</f>
        <v>1073.8</v>
      </c>
      <c r="H34" s="84">
        <f>H35</f>
        <v>1020.1</v>
      </c>
      <c r="I34" s="84">
        <f>I35</f>
        <v>1020.1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ht="16.5" customHeight="1">
      <c r="A35" s="125" t="s">
        <v>363</v>
      </c>
      <c r="B35" s="78"/>
      <c r="C35" s="87" t="s">
        <v>790</v>
      </c>
      <c r="D35" s="87" t="s">
        <v>793</v>
      </c>
      <c r="E35" s="87" t="s">
        <v>334</v>
      </c>
      <c r="F35" s="87" t="s">
        <v>195</v>
      </c>
      <c r="G35" s="84">
        <f>'прил.16'!G28</f>
        <v>1073.8</v>
      </c>
      <c r="H35" s="84">
        <f>'прил.16'!H28</f>
        <v>1020.1</v>
      </c>
      <c r="I35" s="84">
        <f>'прил.16'!I28</f>
        <v>1020.1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ht="52.5" customHeight="1">
      <c r="A36" s="125" t="s">
        <v>308</v>
      </c>
      <c r="B36" s="78"/>
      <c r="C36" s="87" t="s">
        <v>790</v>
      </c>
      <c r="D36" s="87" t="s">
        <v>793</v>
      </c>
      <c r="E36" s="87" t="s">
        <v>335</v>
      </c>
      <c r="F36" s="87"/>
      <c r="G36" s="84">
        <f>G37</f>
        <v>552.7</v>
      </c>
      <c r="H36" s="84">
        <f>H37</f>
        <v>524.5</v>
      </c>
      <c r="I36" s="84">
        <f>I37</f>
        <v>524.5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ht="21" customHeight="1">
      <c r="A37" s="125" t="s">
        <v>363</v>
      </c>
      <c r="B37" s="78"/>
      <c r="C37" s="87" t="s">
        <v>790</v>
      </c>
      <c r="D37" s="87" t="s">
        <v>793</v>
      </c>
      <c r="E37" s="87" t="s">
        <v>335</v>
      </c>
      <c r="F37" s="87" t="s">
        <v>195</v>
      </c>
      <c r="G37" s="84">
        <f>'прил.16'!G30</f>
        <v>552.7</v>
      </c>
      <c r="H37" s="84">
        <f>'прил.16'!H30</f>
        <v>524.5</v>
      </c>
      <c r="I37" s="84">
        <f>'прил.16'!I30</f>
        <v>524.5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ht="85.5" customHeight="1">
      <c r="A38" s="125" t="s">
        <v>307</v>
      </c>
      <c r="B38" s="78"/>
      <c r="C38" s="87" t="s">
        <v>790</v>
      </c>
      <c r="D38" s="87" t="s">
        <v>793</v>
      </c>
      <c r="E38" s="87" t="s">
        <v>336</v>
      </c>
      <c r="F38" s="87"/>
      <c r="G38" s="84">
        <f>G39</f>
        <v>0.7</v>
      </c>
      <c r="H38" s="84">
        <f>H39</f>
        <v>0.7</v>
      </c>
      <c r="I38" s="84">
        <f>I39</f>
        <v>0.7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ht="16.5" customHeight="1">
      <c r="A39" s="125" t="s">
        <v>363</v>
      </c>
      <c r="B39" s="78"/>
      <c r="C39" s="87" t="s">
        <v>790</v>
      </c>
      <c r="D39" s="87" t="s">
        <v>793</v>
      </c>
      <c r="E39" s="87" t="s">
        <v>336</v>
      </c>
      <c r="F39" s="87" t="s">
        <v>195</v>
      </c>
      <c r="G39" s="84">
        <f>'прил.16'!G32</f>
        <v>0.7</v>
      </c>
      <c r="H39" s="84">
        <f>'прил.16'!H32</f>
        <v>0.7</v>
      </c>
      <c r="I39" s="84">
        <f>'прил.16'!I32</f>
        <v>0.7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8" customHeight="1">
      <c r="A40" s="118" t="s">
        <v>586</v>
      </c>
      <c r="B40" s="78"/>
      <c r="C40" s="69" t="s">
        <v>790</v>
      </c>
      <c r="D40" s="69" t="s">
        <v>42</v>
      </c>
      <c r="E40" s="69"/>
      <c r="F40" s="69"/>
      <c r="G40" s="84">
        <f aca="true" t="shared" si="2" ref="G40:I41">G41</f>
        <v>0</v>
      </c>
      <c r="H40" s="84">
        <f t="shared" si="2"/>
        <v>211.7</v>
      </c>
      <c r="I40" s="84">
        <f t="shared" si="2"/>
        <v>0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ht="51.75" customHeight="1">
      <c r="A41" s="126" t="s">
        <v>310</v>
      </c>
      <c r="B41" s="78"/>
      <c r="C41" s="69" t="s">
        <v>790</v>
      </c>
      <c r="D41" s="69" t="s">
        <v>42</v>
      </c>
      <c r="E41" s="69" t="s">
        <v>304</v>
      </c>
      <c r="F41" s="69"/>
      <c r="G41" s="84">
        <f t="shared" si="2"/>
        <v>0</v>
      </c>
      <c r="H41" s="84">
        <f t="shared" si="2"/>
        <v>211.7</v>
      </c>
      <c r="I41" s="84">
        <f t="shared" si="2"/>
        <v>0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ht="19.5" customHeight="1">
      <c r="A42" s="127" t="s">
        <v>601</v>
      </c>
      <c r="B42" s="78"/>
      <c r="C42" s="69" t="s">
        <v>790</v>
      </c>
      <c r="D42" s="69" t="s">
        <v>42</v>
      </c>
      <c r="E42" s="69" t="s">
        <v>304</v>
      </c>
      <c r="F42" s="69" t="s">
        <v>195</v>
      </c>
      <c r="G42" s="84">
        <f>'прил.16'!G35</f>
        <v>0</v>
      </c>
      <c r="H42" s="84">
        <f>'прил.16'!H35</f>
        <v>211.7</v>
      </c>
      <c r="I42" s="84">
        <f>'прил.16'!I35</f>
        <v>0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ht="34.5" customHeight="1">
      <c r="A43" s="116" t="s">
        <v>591</v>
      </c>
      <c r="B43" s="75"/>
      <c r="C43" s="69" t="s">
        <v>790</v>
      </c>
      <c r="D43" s="69" t="s">
        <v>794</v>
      </c>
      <c r="E43" s="69"/>
      <c r="F43" s="69"/>
      <c r="G43" s="84">
        <f>G44+G47</f>
        <v>26238.7</v>
      </c>
      <c r="H43" s="84">
        <f>H44+H47</f>
        <v>26250.6</v>
      </c>
      <c r="I43" s="84">
        <f>I44+I47</f>
        <v>26261.8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ht="48.75" customHeight="1">
      <c r="A44" s="118" t="s">
        <v>26</v>
      </c>
      <c r="B44" s="75"/>
      <c r="C44" s="69" t="s">
        <v>790</v>
      </c>
      <c r="D44" s="69" t="s">
        <v>794</v>
      </c>
      <c r="E44" s="69" t="s">
        <v>27</v>
      </c>
      <c r="F44" s="69"/>
      <c r="G44" s="84">
        <f aca="true" t="shared" si="3" ref="G44:I45">G45</f>
        <v>25995.3</v>
      </c>
      <c r="H44" s="84">
        <f t="shared" si="3"/>
        <v>26020.1</v>
      </c>
      <c r="I44" s="84">
        <f t="shared" si="3"/>
        <v>26031.3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ht="16.5">
      <c r="A45" s="118" t="s">
        <v>560</v>
      </c>
      <c r="B45" s="86"/>
      <c r="C45" s="69" t="s">
        <v>790</v>
      </c>
      <c r="D45" s="69" t="s">
        <v>794</v>
      </c>
      <c r="E45" s="69" t="s">
        <v>29</v>
      </c>
      <c r="F45" s="69"/>
      <c r="G45" s="84">
        <f t="shared" si="3"/>
        <v>25995.3</v>
      </c>
      <c r="H45" s="84">
        <f t="shared" si="3"/>
        <v>26020.1</v>
      </c>
      <c r="I45" s="84">
        <f t="shared" si="3"/>
        <v>26031.3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ht="16.5">
      <c r="A46" s="118" t="s">
        <v>346</v>
      </c>
      <c r="B46" s="78"/>
      <c r="C46" s="69" t="s">
        <v>790</v>
      </c>
      <c r="D46" s="69" t="s">
        <v>794</v>
      </c>
      <c r="E46" s="69" t="s">
        <v>29</v>
      </c>
      <c r="F46" s="69" t="s">
        <v>197</v>
      </c>
      <c r="G46" s="84">
        <f>'прил.16'!G508</f>
        <v>25995.3</v>
      </c>
      <c r="H46" s="84">
        <f>'прил.16'!H508</f>
        <v>26020.1</v>
      </c>
      <c r="I46" s="84">
        <f>'прил.16'!I508</f>
        <v>26031.3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ht="16.5">
      <c r="A47" s="124" t="s">
        <v>14</v>
      </c>
      <c r="B47" s="78"/>
      <c r="C47" s="87" t="s">
        <v>790</v>
      </c>
      <c r="D47" s="87" t="s">
        <v>794</v>
      </c>
      <c r="E47" s="87" t="s">
        <v>15</v>
      </c>
      <c r="F47" s="87"/>
      <c r="G47" s="84">
        <f aca="true" t="shared" si="4" ref="G47:I48">G48</f>
        <v>243.4</v>
      </c>
      <c r="H47" s="84">
        <f t="shared" si="4"/>
        <v>230.5</v>
      </c>
      <c r="I47" s="84">
        <f t="shared" si="4"/>
        <v>230.5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ht="35.25" customHeight="1">
      <c r="A48" s="128" t="s">
        <v>817</v>
      </c>
      <c r="B48" s="78"/>
      <c r="C48" s="87" t="s">
        <v>790</v>
      </c>
      <c r="D48" s="87" t="s">
        <v>794</v>
      </c>
      <c r="E48" s="87" t="s">
        <v>333</v>
      </c>
      <c r="F48" s="87"/>
      <c r="G48" s="84">
        <f t="shared" si="4"/>
        <v>243.4</v>
      </c>
      <c r="H48" s="84">
        <f t="shared" si="4"/>
        <v>230.5</v>
      </c>
      <c r="I48" s="84">
        <f t="shared" si="4"/>
        <v>230.5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ht="16.5">
      <c r="A49" s="128" t="s">
        <v>134</v>
      </c>
      <c r="B49" s="78"/>
      <c r="C49" s="87" t="s">
        <v>790</v>
      </c>
      <c r="D49" s="87" t="s">
        <v>794</v>
      </c>
      <c r="E49" s="87" t="s">
        <v>333</v>
      </c>
      <c r="F49" s="87" t="s">
        <v>195</v>
      </c>
      <c r="G49" s="88">
        <v>243.4</v>
      </c>
      <c r="H49" s="88">
        <v>230.5</v>
      </c>
      <c r="I49" s="88">
        <v>230.5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ht="16.5" hidden="1">
      <c r="A50" s="119" t="s">
        <v>517</v>
      </c>
      <c r="B50" s="89">
        <v>842</v>
      </c>
      <c r="C50" s="81" t="s">
        <v>790</v>
      </c>
      <c r="D50" s="69" t="s">
        <v>508</v>
      </c>
      <c r="E50" s="69"/>
      <c r="F50" s="69"/>
      <c r="G50" s="84">
        <f>G51</f>
        <v>2005.6</v>
      </c>
      <c r="H50" s="84">
        <f aca="true" t="shared" si="5" ref="H50:I52">H51</f>
        <v>0</v>
      </c>
      <c r="I50" s="84">
        <f t="shared" si="5"/>
        <v>0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ht="18" customHeight="1" hidden="1">
      <c r="A51" s="129" t="s">
        <v>602</v>
      </c>
      <c r="B51" s="89">
        <v>842</v>
      </c>
      <c r="C51" s="81" t="s">
        <v>790</v>
      </c>
      <c r="D51" s="69" t="s">
        <v>508</v>
      </c>
      <c r="E51" s="69" t="s">
        <v>12</v>
      </c>
      <c r="F51" s="69"/>
      <c r="G51" s="84">
        <f>G52</f>
        <v>2005.6</v>
      </c>
      <c r="H51" s="84">
        <f t="shared" si="5"/>
        <v>0</v>
      </c>
      <c r="I51" s="84">
        <f t="shared" si="5"/>
        <v>0</v>
      </c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ht="36" customHeight="1" hidden="1">
      <c r="A52" s="118" t="s">
        <v>10</v>
      </c>
      <c r="B52" s="89">
        <v>842</v>
      </c>
      <c r="C52" s="81" t="s">
        <v>790</v>
      </c>
      <c r="D52" s="69" t="s">
        <v>508</v>
      </c>
      <c r="E52" s="69" t="s">
        <v>11</v>
      </c>
      <c r="F52" s="69"/>
      <c r="G52" s="84">
        <f>G53</f>
        <v>2005.6</v>
      </c>
      <c r="H52" s="84">
        <f t="shared" si="5"/>
        <v>0</v>
      </c>
      <c r="I52" s="84">
        <f t="shared" si="5"/>
        <v>0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ht="16.5" hidden="1">
      <c r="A53" s="118" t="s">
        <v>346</v>
      </c>
      <c r="B53" s="89">
        <v>842</v>
      </c>
      <c r="C53" s="81" t="s">
        <v>790</v>
      </c>
      <c r="D53" s="69" t="s">
        <v>508</v>
      </c>
      <c r="E53" s="69" t="s">
        <v>29</v>
      </c>
      <c r="F53" s="69" t="s">
        <v>197</v>
      </c>
      <c r="G53" s="84">
        <f>'прил.16'!G39</f>
        <v>2005.6</v>
      </c>
      <c r="H53" s="84">
        <f>'прил.16'!H39</f>
        <v>0</v>
      </c>
      <c r="I53" s="84">
        <f>'прил.16'!I39</f>
        <v>0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ht="16.5">
      <c r="A54" s="116" t="s">
        <v>303</v>
      </c>
      <c r="B54" s="89"/>
      <c r="C54" s="69" t="s">
        <v>790</v>
      </c>
      <c r="D54" s="69" t="s">
        <v>45</v>
      </c>
      <c r="E54" s="69"/>
      <c r="F54" s="69"/>
      <c r="G54" s="84">
        <f>G55</f>
        <v>41443.399999999994</v>
      </c>
      <c r="H54" s="84">
        <f aca="true" t="shared" si="6" ref="H54:I56">H55</f>
        <v>50000</v>
      </c>
      <c r="I54" s="84">
        <f t="shared" si="6"/>
        <v>50000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ht="16.5">
      <c r="A55" s="116" t="s">
        <v>603</v>
      </c>
      <c r="B55" s="89"/>
      <c r="C55" s="69" t="s">
        <v>790</v>
      </c>
      <c r="D55" s="69" t="s">
        <v>45</v>
      </c>
      <c r="E55" s="69" t="s">
        <v>302</v>
      </c>
      <c r="F55" s="69"/>
      <c r="G55" s="84">
        <f>G56</f>
        <v>41443.399999999994</v>
      </c>
      <c r="H55" s="84">
        <f t="shared" si="6"/>
        <v>50000</v>
      </c>
      <c r="I55" s="84">
        <f t="shared" si="6"/>
        <v>50000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s="19" customFormat="1" ht="16.5">
      <c r="A56" s="116" t="s">
        <v>514</v>
      </c>
      <c r="B56" s="89"/>
      <c r="C56" s="69" t="s">
        <v>790</v>
      </c>
      <c r="D56" s="69" t="s">
        <v>45</v>
      </c>
      <c r="E56" s="69" t="s">
        <v>515</v>
      </c>
      <c r="F56" s="69"/>
      <c r="G56" s="84">
        <f>G57</f>
        <v>41443.399999999994</v>
      </c>
      <c r="H56" s="84">
        <f t="shared" si="6"/>
        <v>50000</v>
      </c>
      <c r="I56" s="84">
        <f t="shared" si="6"/>
        <v>50000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s="20" customFormat="1" ht="16.5">
      <c r="A57" s="116" t="s">
        <v>138</v>
      </c>
      <c r="B57" s="89"/>
      <c r="C57" s="69" t="s">
        <v>790</v>
      </c>
      <c r="D57" s="69" t="s">
        <v>45</v>
      </c>
      <c r="E57" s="69" t="s">
        <v>515</v>
      </c>
      <c r="F57" s="69" t="s">
        <v>536</v>
      </c>
      <c r="G57" s="84">
        <f>'прил.16'!G515</f>
        <v>41443.399999999994</v>
      </c>
      <c r="H57" s="84">
        <f>'прил.16'!H515</f>
        <v>50000</v>
      </c>
      <c r="I57" s="84">
        <f>'прил.16'!I515</f>
        <v>50000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ht="16.5">
      <c r="A58" s="116" t="s">
        <v>305</v>
      </c>
      <c r="B58" s="75"/>
      <c r="C58" s="69" t="s">
        <v>790</v>
      </c>
      <c r="D58" s="69" t="s">
        <v>487</v>
      </c>
      <c r="E58" s="69"/>
      <c r="F58" s="69"/>
      <c r="G58" s="84">
        <f>G61+G64+G67+G73+G78+G89+G93+G59</f>
        <v>118838.09999999999</v>
      </c>
      <c r="H58" s="84">
        <f>H61+H64+H67+H73+H78+H89+H93</f>
        <v>87605.5</v>
      </c>
      <c r="I58" s="84">
        <f>I61+I64+I67+I73+I78+I89+I93</f>
        <v>90594.7</v>
      </c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ht="33" hidden="1">
      <c r="A59" s="120" t="s">
        <v>580</v>
      </c>
      <c r="B59" s="75"/>
      <c r="C59" s="69" t="s">
        <v>790</v>
      </c>
      <c r="D59" s="69" t="s">
        <v>487</v>
      </c>
      <c r="E59" s="69" t="s">
        <v>204</v>
      </c>
      <c r="F59" s="69"/>
      <c r="G59" s="84">
        <f>G60</f>
        <v>2768</v>
      </c>
      <c r="H59" s="84">
        <f>H60</f>
        <v>0</v>
      </c>
      <c r="I59" s="84">
        <f>I60</f>
        <v>0</v>
      </c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ht="16.5" hidden="1">
      <c r="A60" s="118" t="s">
        <v>363</v>
      </c>
      <c r="B60" s="75"/>
      <c r="C60" s="69" t="s">
        <v>790</v>
      </c>
      <c r="D60" s="69" t="s">
        <v>487</v>
      </c>
      <c r="E60" s="69" t="s">
        <v>204</v>
      </c>
      <c r="F60" s="69" t="s">
        <v>195</v>
      </c>
      <c r="G60" s="84">
        <f>'прил.16'!G787</f>
        <v>2768</v>
      </c>
      <c r="H60" s="84">
        <f>'прил.16'!H787</f>
        <v>0</v>
      </c>
      <c r="I60" s="84">
        <f>'прил.16'!I787</f>
        <v>0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ht="16.5">
      <c r="A61" s="116" t="s">
        <v>604</v>
      </c>
      <c r="B61" s="89"/>
      <c r="C61" s="69" t="s">
        <v>790</v>
      </c>
      <c r="D61" s="69" t="s">
        <v>487</v>
      </c>
      <c r="E61" s="90" t="s">
        <v>27</v>
      </c>
      <c r="F61" s="91"/>
      <c r="G61" s="84">
        <f aca="true" t="shared" si="7" ref="G61:I62">G62</f>
        <v>1629</v>
      </c>
      <c r="H61" s="84">
        <f t="shared" si="7"/>
        <v>1629</v>
      </c>
      <c r="I61" s="84">
        <f t="shared" si="7"/>
        <v>1629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ht="32.25" customHeight="1">
      <c r="A62" s="116" t="s">
        <v>178</v>
      </c>
      <c r="B62" s="89"/>
      <c r="C62" s="69" t="s">
        <v>790</v>
      </c>
      <c r="D62" s="69" t="s">
        <v>487</v>
      </c>
      <c r="E62" s="69" t="s">
        <v>177</v>
      </c>
      <c r="F62" s="69"/>
      <c r="G62" s="84">
        <f t="shared" si="7"/>
        <v>1629</v>
      </c>
      <c r="H62" s="84">
        <f t="shared" si="7"/>
        <v>1629</v>
      </c>
      <c r="I62" s="84">
        <f t="shared" si="7"/>
        <v>1629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ht="16.5">
      <c r="A63" s="118" t="s">
        <v>346</v>
      </c>
      <c r="B63" s="89"/>
      <c r="C63" s="69" t="s">
        <v>790</v>
      </c>
      <c r="D63" s="69" t="s">
        <v>487</v>
      </c>
      <c r="E63" s="69" t="s">
        <v>177</v>
      </c>
      <c r="F63" s="69" t="s">
        <v>197</v>
      </c>
      <c r="G63" s="84">
        <f>'прил.16'!G791</f>
        <v>1629</v>
      </c>
      <c r="H63" s="84">
        <f>'прил.16'!H791</f>
        <v>1629</v>
      </c>
      <c r="I63" s="84">
        <f>'прил.16'!I791</f>
        <v>1629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ht="33.75" customHeight="1">
      <c r="A64" s="125" t="s">
        <v>97</v>
      </c>
      <c r="B64" s="89"/>
      <c r="C64" s="69" t="s">
        <v>790</v>
      </c>
      <c r="D64" s="69" t="s">
        <v>487</v>
      </c>
      <c r="E64" s="69" t="s">
        <v>179</v>
      </c>
      <c r="F64" s="69"/>
      <c r="G64" s="84">
        <f aca="true" t="shared" si="8" ref="G64:I65">G65</f>
        <v>6778.4</v>
      </c>
      <c r="H64" s="84">
        <f t="shared" si="8"/>
        <v>3254.9</v>
      </c>
      <c r="I64" s="84">
        <f t="shared" si="8"/>
        <v>2698</v>
      </c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ht="33.75" customHeight="1">
      <c r="A65" s="119" t="s">
        <v>605</v>
      </c>
      <c r="B65" s="89"/>
      <c r="C65" s="69" t="s">
        <v>790</v>
      </c>
      <c r="D65" s="69" t="s">
        <v>487</v>
      </c>
      <c r="E65" s="69" t="s">
        <v>181</v>
      </c>
      <c r="F65" s="69"/>
      <c r="G65" s="84">
        <f t="shared" si="8"/>
        <v>6778.4</v>
      </c>
      <c r="H65" s="84">
        <f t="shared" si="8"/>
        <v>3254.9</v>
      </c>
      <c r="I65" s="84">
        <f t="shared" si="8"/>
        <v>2698</v>
      </c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ht="16.5">
      <c r="A66" s="118" t="s">
        <v>346</v>
      </c>
      <c r="B66" s="89"/>
      <c r="C66" s="69" t="s">
        <v>790</v>
      </c>
      <c r="D66" s="69" t="s">
        <v>487</v>
      </c>
      <c r="E66" s="69" t="s">
        <v>181</v>
      </c>
      <c r="F66" s="69" t="s">
        <v>197</v>
      </c>
      <c r="G66" s="84">
        <f>'прил.16'!G794</f>
        <v>6778.4</v>
      </c>
      <c r="H66" s="84">
        <f>'прил.16'!H794</f>
        <v>3254.9</v>
      </c>
      <c r="I66" s="84">
        <f>'прил.16'!I794</f>
        <v>2698</v>
      </c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ht="21" customHeight="1">
      <c r="A67" s="130" t="s">
        <v>5</v>
      </c>
      <c r="B67" s="89"/>
      <c r="C67" s="69" t="s">
        <v>790</v>
      </c>
      <c r="D67" s="69" t="s">
        <v>487</v>
      </c>
      <c r="E67" s="69" t="s">
        <v>342</v>
      </c>
      <c r="F67" s="69"/>
      <c r="G67" s="84">
        <f>G68+G71</f>
        <v>94616.5</v>
      </c>
      <c r="H67" s="84">
        <f>H68+H71</f>
        <v>71906.8</v>
      </c>
      <c r="I67" s="84">
        <f>I68+I71</f>
        <v>74935.5</v>
      </c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ht="18.75" customHeight="1">
      <c r="A68" s="118" t="s">
        <v>606</v>
      </c>
      <c r="B68" s="89"/>
      <c r="C68" s="69" t="s">
        <v>790</v>
      </c>
      <c r="D68" s="69" t="s">
        <v>487</v>
      </c>
      <c r="E68" s="69" t="s">
        <v>399</v>
      </c>
      <c r="F68" s="69"/>
      <c r="G68" s="84">
        <f>G69+G70</f>
        <v>8803.5</v>
      </c>
      <c r="H68" s="84">
        <f>H69+H70</f>
        <v>912.5</v>
      </c>
      <c r="I68" s="84">
        <f>I69+I70</f>
        <v>877.5</v>
      </c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ht="18.75" customHeight="1" hidden="1">
      <c r="A69" s="116" t="s">
        <v>607</v>
      </c>
      <c r="B69" s="89"/>
      <c r="C69" s="69" t="s">
        <v>790</v>
      </c>
      <c r="D69" s="69" t="s">
        <v>487</v>
      </c>
      <c r="E69" s="69" t="s">
        <v>399</v>
      </c>
      <c r="F69" s="69" t="s">
        <v>238</v>
      </c>
      <c r="G69" s="84">
        <f>'прил.16'!G43</f>
        <v>700</v>
      </c>
      <c r="H69" s="84">
        <f>'прил.16'!H43</f>
        <v>0</v>
      </c>
      <c r="I69" s="84">
        <f>'прил.16'!I43</f>
        <v>0</v>
      </c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ht="16.5">
      <c r="A70" s="118" t="s">
        <v>346</v>
      </c>
      <c r="B70" s="89"/>
      <c r="C70" s="69" t="s">
        <v>790</v>
      </c>
      <c r="D70" s="69" t="s">
        <v>487</v>
      </c>
      <c r="E70" s="69" t="s">
        <v>399</v>
      </c>
      <c r="F70" s="69" t="s">
        <v>197</v>
      </c>
      <c r="G70" s="84">
        <f>'прил.16'!G797+'прил.16'!G44+'прил.16'!G185+'прил.16'!G519+'прил.16'!G548+'прил.16'!G860</f>
        <v>8103.5</v>
      </c>
      <c r="H70" s="84">
        <f>'прил.16'!H797+'прил.16'!H44+'прил.16'!H185+'прил.16'!H519+'прил.16'!H548+'прил.16'!H860</f>
        <v>912.5</v>
      </c>
      <c r="I70" s="84">
        <f>'прил.16'!I797+'прил.16'!I44+'прил.16'!I185+'прил.16'!I519+'прил.16'!I548+'прил.16'!I860</f>
        <v>877.5</v>
      </c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ht="16.5">
      <c r="A71" s="116" t="s">
        <v>540</v>
      </c>
      <c r="B71" s="89"/>
      <c r="C71" s="69" t="s">
        <v>790</v>
      </c>
      <c r="D71" s="69" t="s">
        <v>487</v>
      </c>
      <c r="E71" s="69" t="s">
        <v>547</v>
      </c>
      <c r="F71" s="69"/>
      <c r="G71" s="84">
        <f>G72</f>
        <v>85813</v>
      </c>
      <c r="H71" s="84">
        <f>H72</f>
        <v>70994.3</v>
      </c>
      <c r="I71" s="84">
        <f>I72</f>
        <v>74058</v>
      </c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ht="16.5">
      <c r="A72" s="118" t="s">
        <v>836</v>
      </c>
      <c r="B72" s="89"/>
      <c r="C72" s="69" t="s">
        <v>790</v>
      </c>
      <c r="D72" s="69" t="s">
        <v>487</v>
      </c>
      <c r="E72" s="69" t="s">
        <v>547</v>
      </c>
      <c r="F72" s="69" t="s">
        <v>545</v>
      </c>
      <c r="G72" s="84">
        <f>'прил.16'!G46</f>
        <v>85813</v>
      </c>
      <c r="H72" s="84">
        <f>'прил.16'!H46</f>
        <v>70994.3</v>
      </c>
      <c r="I72" s="84">
        <f>'прил.16'!I46</f>
        <v>74058</v>
      </c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3" ht="19.5" customHeight="1">
      <c r="A73" s="118" t="s">
        <v>622</v>
      </c>
      <c r="B73" s="78"/>
      <c r="C73" s="69" t="s">
        <v>790</v>
      </c>
      <c r="D73" s="69" t="s">
        <v>487</v>
      </c>
      <c r="E73" s="90" t="s">
        <v>141</v>
      </c>
      <c r="F73" s="69"/>
      <c r="G73" s="84">
        <f>G74+G76</f>
        <v>10105.5</v>
      </c>
      <c r="H73" s="84">
        <f>H74+H76</f>
        <v>7923.5</v>
      </c>
      <c r="I73" s="84">
        <f>I74+I76</f>
        <v>8120.9</v>
      </c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23" ht="18" customHeight="1">
      <c r="A74" s="116" t="s">
        <v>564</v>
      </c>
      <c r="B74" s="75"/>
      <c r="C74" s="69" t="s">
        <v>790</v>
      </c>
      <c r="D74" s="69" t="s">
        <v>487</v>
      </c>
      <c r="E74" s="90" t="s">
        <v>484</v>
      </c>
      <c r="F74" s="69"/>
      <c r="G74" s="84">
        <f>G75</f>
        <v>111.7</v>
      </c>
      <c r="H74" s="84">
        <f>H75</f>
        <v>111.7</v>
      </c>
      <c r="I74" s="84">
        <f>I75</f>
        <v>111.7</v>
      </c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:23" ht="17.25" customHeight="1">
      <c r="A75" s="118" t="s">
        <v>836</v>
      </c>
      <c r="B75" s="85"/>
      <c r="C75" s="69" t="s">
        <v>790</v>
      </c>
      <c r="D75" s="69" t="s">
        <v>487</v>
      </c>
      <c r="E75" s="90" t="s">
        <v>484</v>
      </c>
      <c r="F75" s="69" t="s">
        <v>545</v>
      </c>
      <c r="G75" s="84">
        <f>'прил.16'!G49</f>
        <v>111.7</v>
      </c>
      <c r="H75" s="84">
        <f>'прил.16'!H49</f>
        <v>111.7</v>
      </c>
      <c r="I75" s="84">
        <f>'прил.16'!I49</f>
        <v>111.7</v>
      </c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:23" ht="18" customHeight="1">
      <c r="A76" s="116" t="s">
        <v>540</v>
      </c>
      <c r="B76" s="75"/>
      <c r="C76" s="69" t="s">
        <v>790</v>
      </c>
      <c r="D76" s="69" t="s">
        <v>487</v>
      </c>
      <c r="E76" s="69" t="s">
        <v>142</v>
      </c>
      <c r="F76" s="69"/>
      <c r="G76" s="84">
        <f>G77</f>
        <v>9993.8</v>
      </c>
      <c r="H76" s="84">
        <f>H77</f>
        <v>7811.8</v>
      </c>
      <c r="I76" s="84">
        <f>I77</f>
        <v>8009.2</v>
      </c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:23" ht="17.25" customHeight="1">
      <c r="A77" s="118" t="s">
        <v>836</v>
      </c>
      <c r="B77" s="85"/>
      <c r="C77" s="69" t="s">
        <v>790</v>
      </c>
      <c r="D77" s="69" t="s">
        <v>487</v>
      </c>
      <c r="E77" s="69" t="s">
        <v>142</v>
      </c>
      <c r="F77" s="69" t="s">
        <v>545</v>
      </c>
      <c r="G77" s="84">
        <f>'прил.16'!G51+'прил.16'!G863</f>
        <v>9993.8</v>
      </c>
      <c r="H77" s="84">
        <f>'прил.16'!H51+'прил.16'!H863</f>
        <v>7811.8</v>
      </c>
      <c r="I77" s="84">
        <f>'прил.16'!I51+'прил.16'!I863</f>
        <v>8009.2</v>
      </c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3" ht="18.75" customHeight="1">
      <c r="A78" s="120" t="s">
        <v>609</v>
      </c>
      <c r="B78" s="78"/>
      <c r="C78" s="69" t="s">
        <v>790</v>
      </c>
      <c r="D78" s="69" t="s">
        <v>487</v>
      </c>
      <c r="E78" s="69" t="s">
        <v>15</v>
      </c>
      <c r="F78" s="69"/>
      <c r="G78" s="84">
        <f>G81+G85+G87+G79+G83</f>
        <v>838.2</v>
      </c>
      <c r="H78" s="84">
        <f>H81+H85+H87+H79+H83</f>
        <v>796.3</v>
      </c>
      <c r="I78" s="84">
        <f>I81+I85+I87+I79+I83</f>
        <v>796.3</v>
      </c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:23" ht="53.25" customHeight="1" hidden="1">
      <c r="A79" s="120" t="s">
        <v>610</v>
      </c>
      <c r="B79" s="78"/>
      <c r="C79" s="69" t="s">
        <v>790</v>
      </c>
      <c r="D79" s="69" t="s">
        <v>487</v>
      </c>
      <c r="E79" s="69" t="s">
        <v>334</v>
      </c>
      <c r="F79" s="69"/>
      <c r="G79" s="84">
        <f>G80</f>
        <v>0</v>
      </c>
      <c r="H79" s="84">
        <f>H80</f>
        <v>0</v>
      </c>
      <c r="I79" s="84">
        <f>I80</f>
        <v>0</v>
      </c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 ht="18.75" customHeight="1" hidden="1">
      <c r="A80" s="118" t="s">
        <v>363</v>
      </c>
      <c r="B80" s="78"/>
      <c r="C80" s="69" t="s">
        <v>790</v>
      </c>
      <c r="D80" s="69" t="s">
        <v>487</v>
      </c>
      <c r="E80" s="69" t="s">
        <v>334</v>
      </c>
      <c r="F80" s="69" t="s">
        <v>195</v>
      </c>
      <c r="G80" s="84">
        <f>'прил.16'!G54</f>
        <v>0</v>
      </c>
      <c r="H80" s="84">
        <f>'прил.16'!H54</f>
        <v>0</v>
      </c>
      <c r="I80" s="84">
        <f>'прил.16'!I54</f>
        <v>0</v>
      </c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:23" ht="35.25" customHeight="1">
      <c r="A81" s="124" t="s">
        <v>309</v>
      </c>
      <c r="B81" s="75"/>
      <c r="C81" s="69" t="s">
        <v>790</v>
      </c>
      <c r="D81" s="69" t="s">
        <v>487</v>
      </c>
      <c r="E81" s="69" t="s">
        <v>332</v>
      </c>
      <c r="F81" s="69"/>
      <c r="G81" s="84">
        <f>G82</f>
        <v>838.2</v>
      </c>
      <c r="H81" s="84">
        <f>H82</f>
        <v>796.3</v>
      </c>
      <c r="I81" s="84">
        <f>I82</f>
        <v>796.3</v>
      </c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:23" ht="15.75" customHeight="1">
      <c r="A82" s="118" t="s">
        <v>836</v>
      </c>
      <c r="B82" s="85"/>
      <c r="C82" s="69" t="s">
        <v>790</v>
      </c>
      <c r="D82" s="69" t="s">
        <v>487</v>
      </c>
      <c r="E82" s="69" t="s">
        <v>332</v>
      </c>
      <c r="F82" s="69" t="s">
        <v>545</v>
      </c>
      <c r="G82" s="84">
        <f>'прил.16'!G56</f>
        <v>838.2</v>
      </c>
      <c r="H82" s="84">
        <f>'прил.16'!H56</f>
        <v>796.3</v>
      </c>
      <c r="I82" s="84">
        <f>'прил.16'!I56</f>
        <v>796.3</v>
      </c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:23" ht="35.25" customHeight="1" hidden="1">
      <c r="A83" s="127" t="s">
        <v>325</v>
      </c>
      <c r="B83" s="85"/>
      <c r="C83" s="69" t="s">
        <v>790</v>
      </c>
      <c r="D83" s="69" t="s">
        <v>487</v>
      </c>
      <c r="E83" s="69" t="s">
        <v>333</v>
      </c>
      <c r="F83" s="69"/>
      <c r="G83" s="84">
        <f>G84</f>
        <v>0</v>
      </c>
      <c r="H83" s="84">
        <f>H84</f>
        <v>0</v>
      </c>
      <c r="I83" s="84">
        <f>I84</f>
        <v>0</v>
      </c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:23" ht="15.75" customHeight="1" hidden="1">
      <c r="A84" s="127" t="s">
        <v>601</v>
      </c>
      <c r="B84" s="85"/>
      <c r="C84" s="69" t="s">
        <v>790</v>
      </c>
      <c r="D84" s="69" t="s">
        <v>487</v>
      </c>
      <c r="E84" s="69" t="s">
        <v>333</v>
      </c>
      <c r="F84" s="69" t="s">
        <v>195</v>
      </c>
      <c r="G84" s="84">
        <f>'прил.16'!G522</f>
        <v>0</v>
      </c>
      <c r="H84" s="84">
        <f>'прил.16'!H522</f>
        <v>0</v>
      </c>
      <c r="I84" s="84">
        <f>'прил.16'!I522</f>
        <v>0</v>
      </c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:23" ht="35.25" customHeight="1" hidden="1">
      <c r="A85" s="118" t="s">
        <v>611</v>
      </c>
      <c r="B85" s="85"/>
      <c r="C85" s="69" t="s">
        <v>790</v>
      </c>
      <c r="D85" s="69" t="s">
        <v>487</v>
      </c>
      <c r="E85" s="69" t="s">
        <v>335</v>
      </c>
      <c r="F85" s="69"/>
      <c r="G85" s="84">
        <f>G86</f>
        <v>0</v>
      </c>
      <c r="H85" s="84">
        <f>H86</f>
        <v>0</v>
      </c>
      <c r="I85" s="84">
        <f>I86</f>
        <v>0</v>
      </c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:23" ht="15.75" customHeight="1" hidden="1">
      <c r="A86" s="118" t="s">
        <v>363</v>
      </c>
      <c r="B86" s="85"/>
      <c r="C86" s="69" t="s">
        <v>790</v>
      </c>
      <c r="D86" s="69" t="s">
        <v>487</v>
      </c>
      <c r="E86" s="69" t="s">
        <v>335</v>
      </c>
      <c r="F86" s="69" t="s">
        <v>195</v>
      </c>
      <c r="G86" s="84">
        <f>'прил.16'!G58</f>
        <v>0</v>
      </c>
      <c r="H86" s="84">
        <f>'прил.16'!H58</f>
        <v>0</v>
      </c>
      <c r="I86" s="84">
        <f>'прил.16'!I58</f>
        <v>0</v>
      </c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:23" ht="69.75" customHeight="1" hidden="1">
      <c r="A87" s="118" t="s">
        <v>612</v>
      </c>
      <c r="B87" s="85"/>
      <c r="C87" s="69" t="s">
        <v>790</v>
      </c>
      <c r="D87" s="69" t="s">
        <v>487</v>
      </c>
      <c r="E87" s="69" t="s">
        <v>336</v>
      </c>
      <c r="F87" s="69"/>
      <c r="G87" s="84">
        <f>G88</f>
        <v>0</v>
      </c>
      <c r="H87" s="84">
        <f>H88</f>
        <v>0</v>
      </c>
      <c r="I87" s="84">
        <f>I88</f>
        <v>0</v>
      </c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:23" ht="15.75" customHeight="1" hidden="1">
      <c r="A88" s="118" t="s">
        <v>363</v>
      </c>
      <c r="B88" s="85"/>
      <c r="C88" s="69" t="s">
        <v>790</v>
      </c>
      <c r="D88" s="69" t="s">
        <v>487</v>
      </c>
      <c r="E88" s="69" t="s">
        <v>336</v>
      </c>
      <c r="F88" s="69" t="s">
        <v>195</v>
      </c>
      <c r="G88" s="84">
        <f>'прил.16'!G60</f>
        <v>0</v>
      </c>
      <c r="H88" s="84">
        <f>'прил.16'!H60</f>
        <v>0</v>
      </c>
      <c r="I88" s="84">
        <f>'прил.16'!I60</f>
        <v>0</v>
      </c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:23" ht="15.75" customHeight="1" hidden="1">
      <c r="A89" s="120" t="s">
        <v>277</v>
      </c>
      <c r="B89" s="85"/>
      <c r="C89" s="69" t="s">
        <v>790</v>
      </c>
      <c r="D89" s="69" t="s">
        <v>487</v>
      </c>
      <c r="E89" s="69" t="s">
        <v>381</v>
      </c>
      <c r="F89" s="69"/>
      <c r="G89" s="84">
        <f aca="true" t="shared" si="9" ref="G89:I90">G90</f>
        <v>0</v>
      </c>
      <c r="H89" s="84">
        <f t="shared" si="9"/>
        <v>0</v>
      </c>
      <c r="I89" s="84">
        <f t="shared" si="9"/>
        <v>0</v>
      </c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:23" ht="38.25" customHeight="1" hidden="1">
      <c r="A90" s="116" t="s">
        <v>224</v>
      </c>
      <c r="B90" s="85"/>
      <c r="C90" s="69" t="s">
        <v>790</v>
      </c>
      <c r="D90" s="69" t="s">
        <v>487</v>
      </c>
      <c r="E90" s="69" t="s">
        <v>212</v>
      </c>
      <c r="F90" s="69"/>
      <c r="G90" s="84">
        <f t="shared" si="9"/>
        <v>0</v>
      </c>
      <c r="H90" s="84">
        <f t="shared" si="9"/>
        <v>0</v>
      </c>
      <c r="I90" s="84">
        <f t="shared" si="9"/>
        <v>0</v>
      </c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:23" ht="15.75" customHeight="1" hidden="1">
      <c r="A91" s="120" t="s">
        <v>4</v>
      </c>
      <c r="B91" s="85"/>
      <c r="C91" s="69" t="s">
        <v>790</v>
      </c>
      <c r="D91" s="69" t="s">
        <v>487</v>
      </c>
      <c r="E91" s="69" t="s">
        <v>212</v>
      </c>
      <c r="F91" s="69" t="s">
        <v>55</v>
      </c>
      <c r="G91" s="84">
        <f>'прил.16'!G866</f>
        <v>0</v>
      </c>
      <c r="H91" s="84">
        <f>'прил.16'!H866</f>
        <v>0</v>
      </c>
      <c r="I91" s="84">
        <f>'прил.16'!I866</f>
        <v>0</v>
      </c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23" ht="15.75" customHeight="1">
      <c r="A92" s="116" t="s">
        <v>349</v>
      </c>
      <c r="B92" s="75"/>
      <c r="C92" s="69" t="s">
        <v>790</v>
      </c>
      <c r="D92" s="69" t="s">
        <v>487</v>
      </c>
      <c r="E92" s="69" t="s">
        <v>343</v>
      </c>
      <c r="F92" s="69"/>
      <c r="G92" s="84">
        <f>G93</f>
        <v>2102.5</v>
      </c>
      <c r="H92" s="84">
        <f>H93</f>
        <v>2095</v>
      </c>
      <c r="I92" s="84">
        <f>I93</f>
        <v>2415</v>
      </c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3" ht="16.5">
      <c r="A93" s="116" t="s">
        <v>380</v>
      </c>
      <c r="B93" s="75"/>
      <c r="C93" s="69" t="s">
        <v>790</v>
      </c>
      <c r="D93" s="69" t="s">
        <v>487</v>
      </c>
      <c r="E93" s="69" t="s">
        <v>344</v>
      </c>
      <c r="F93" s="69"/>
      <c r="G93" s="84">
        <f>G94+G96</f>
        <v>2102.5</v>
      </c>
      <c r="H93" s="84">
        <f>H94+H96</f>
        <v>2095</v>
      </c>
      <c r="I93" s="84">
        <f>I94+I96</f>
        <v>2415</v>
      </c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:23" ht="17.25" customHeight="1">
      <c r="A94" s="116" t="s">
        <v>199</v>
      </c>
      <c r="B94" s="75"/>
      <c r="C94" s="69" t="s">
        <v>790</v>
      </c>
      <c r="D94" s="69" t="s">
        <v>487</v>
      </c>
      <c r="E94" s="69" t="s">
        <v>354</v>
      </c>
      <c r="F94" s="69"/>
      <c r="G94" s="84">
        <f>G95</f>
        <v>1934.5</v>
      </c>
      <c r="H94" s="84">
        <f>H95</f>
        <v>2095</v>
      </c>
      <c r="I94" s="84">
        <f>I95</f>
        <v>2415</v>
      </c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:23" ht="16.5">
      <c r="A95" s="118" t="s">
        <v>346</v>
      </c>
      <c r="B95" s="78"/>
      <c r="C95" s="69" t="s">
        <v>790</v>
      </c>
      <c r="D95" s="69" t="s">
        <v>487</v>
      </c>
      <c r="E95" s="69" t="s">
        <v>354</v>
      </c>
      <c r="F95" s="69" t="s">
        <v>197</v>
      </c>
      <c r="G95" s="84">
        <f>'прил.16'!G64</f>
        <v>1934.5</v>
      </c>
      <c r="H95" s="84">
        <f>'прил.16'!H64</f>
        <v>2095</v>
      </c>
      <c r="I95" s="84">
        <f>'прил.16'!I64</f>
        <v>2415</v>
      </c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23" ht="33" hidden="1">
      <c r="A96" s="120" t="s">
        <v>361</v>
      </c>
      <c r="B96" s="78"/>
      <c r="C96" s="69" t="s">
        <v>790</v>
      </c>
      <c r="D96" s="69" t="s">
        <v>487</v>
      </c>
      <c r="E96" s="69" t="s">
        <v>357</v>
      </c>
      <c r="F96" s="69"/>
      <c r="G96" s="84">
        <f>G97</f>
        <v>168</v>
      </c>
      <c r="H96" s="84">
        <f>H97</f>
        <v>0</v>
      </c>
      <c r="I96" s="84">
        <f>I97</f>
        <v>0</v>
      </c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 ht="16.5" hidden="1">
      <c r="A97" s="120" t="s">
        <v>346</v>
      </c>
      <c r="B97" s="78"/>
      <c r="C97" s="69" t="s">
        <v>790</v>
      </c>
      <c r="D97" s="69" t="s">
        <v>487</v>
      </c>
      <c r="E97" s="69" t="s">
        <v>357</v>
      </c>
      <c r="F97" s="69" t="s">
        <v>197</v>
      </c>
      <c r="G97" s="84">
        <f>'прил.16'!G66</f>
        <v>168</v>
      </c>
      <c r="H97" s="84">
        <f>'прил.16'!H66</f>
        <v>0</v>
      </c>
      <c r="I97" s="84">
        <f>'прил.16'!I66</f>
        <v>0</v>
      </c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ht="33.75" customHeight="1">
      <c r="A98" s="116" t="s">
        <v>193</v>
      </c>
      <c r="B98" s="75"/>
      <c r="C98" s="69" t="s">
        <v>792</v>
      </c>
      <c r="D98" s="69"/>
      <c r="E98" s="69"/>
      <c r="F98" s="69"/>
      <c r="G98" s="84">
        <f>G99+G111+G121</f>
        <v>61553.2</v>
      </c>
      <c r="H98" s="84">
        <f>H99+H111+H121</f>
        <v>58288.600000000006</v>
      </c>
      <c r="I98" s="84">
        <f>I99+I111+I121</f>
        <v>58819.5</v>
      </c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23" ht="16.5">
      <c r="A99" s="116" t="s">
        <v>613</v>
      </c>
      <c r="B99" s="75"/>
      <c r="C99" s="69" t="s">
        <v>792</v>
      </c>
      <c r="D99" s="69" t="s">
        <v>791</v>
      </c>
      <c r="E99" s="69"/>
      <c r="F99" s="69"/>
      <c r="G99" s="84">
        <f>G100</f>
        <v>23212.2</v>
      </c>
      <c r="H99" s="84">
        <f>H100</f>
        <v>23339.600000000002</v>
      </c>
      <c r="I99" s="84">
        <f>I100</f>
        <v>23440.1</v>
      </c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3" ht="16.5">
      <c r="A100" s="118" t="s">
        <v>100</v>
      </c>
      <c r="B100" s="78"/>
      <c r="C100" s="69" t="s">
        <v>792</v>
      </c>
      <c r="D100" s="69" t="s">
        <v>791</v>
      </c>
      <c r="E100" s="69" t="s">
        <v>190</v>
      </c>
      <c r="F100" s="69"/>
      <c r="G100" s="84">
        <f>G101+G103+G105+G107+G109</f>
        <v>23212.2</v>
      </c>
      <c r="H100" s="84">
        <f>H101+H103+H105+H107+H109</f>
        <v>23339.600000000002</v>
      </c>
      <c r="I100" s="84">
        <f>I101+I103+I105+I107+I109</f>
        <v>23440.1</v>
      </c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ht="51" customHeight="1" hidden="1">
      <c r="A101" s="121" t="s">
        <v>151</v>
      </c>
      <c r="B101" s="80"/>
      <c r="C101" s="69" t="s">
        <v>792</v>
      </c>
      <c r="D101" s="69" t="s">
        <v>791</v>
      </c>
      <c r="E101" s="69" t="s">
        <v>191</v>
      </c>
      <c r="F101" s="69"/>
      <c r="G101" s="84">
        <f>G102</f>
        <v>0</v>
      </c>
      <c r="H101" s="84">
        <f>H102</f>
        <v>0</v>
      </c>
      <c r="I101" s="84">
        <f>I102</f>
        <v>0</v>
      </c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 ht="33.75" customHeight="1" hidden="1">
      <c r="A102" s="121" t="s">
        <v>825</v>
      </c>
      <c r="B102" s="80"/>
      <c r="C102" s="69" t="s">
        <v>792</v>
      </c>
      <c r="D102" s="69" t="s">
        <v>791</v>
      </c>
      <c r="E102" s="69" t="s">
        <v>191</v>
      </c>
      <c r="F102" s="69" t="s">
        <v>506</v>
      </c>
      <c r="G102" s="84">
        <f>'прил.16'!G1029</f>
        <v>0</v>
      </c>
      <c r="H102" s="84">
        <f>'прил.16'!H1029</f>
        <v>0</v>
      </c>
      <c r="I102" s="84">
        <f>'прил.16'!I1029</f>
        <v>0</v>
      </c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 ht="16.5">
      <c r="A103" s="121" t="s">
        <v>826</v>
      </c>
      <c r="B103" s="80"/>
      <c r="C103" s="69" t="s">
        <v>792</v>
      </c>
      <c r="D103" s="69" t="s">
        <v>791</v>
      </c>
      <c r="E103" s="69" t="s">
        <v>510</v>
      </c>
      <c r="F103" s="69"/>
      <c r="G103" s="84">
        <f>G104</f>
        <v>11919.2</v>
      </c>
      <c r="H103" s="84">
        <f>H104</f>
        <v>11919.2</v>
      </c>
      <c r="I103" s="84">
        <f>I104</f>
        <v>11919.2</v>
      </c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ht="33.75" customHeight="1">
      <c r="A104" s="121" t="s">
        <v>825</v>
      </c>
      <c r="B104" s="80"/>
      <c r="C104" s="69" t="s">
        <v>792</v>
      </c>
      <c r="D104" s="69" t="s">
        <v>791</v>
      </c>
      <c r="E104" s="69" t="s">
        <v>510</v>
      </c>
      <c r="F104" s="69" t="s">
        <v>506</v>
      </c>
      <c r="G104" s="84">
        <f>'прил.16'!G1031</f>
        <v>11919.2</v>
      </c>
      <c r="H104" s="84">
        <f>'прил.16'!H1031</f>
        <v>11919.2</v>
      </c>
      <c r="I104" s="84">
        <f>'прил.16'!I1031</f>
        <v>11919.2</v>
      </c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 ht="33.75" customHeight="1">
      <c r="A105" s="116" t="s">
        <v>35</v>
      </c>
      <c r="B105" s="75"/>
      <c r="C105" s="69" t="s">
        <v>792</v>
      </c>
      <c r="D105" s="69" t="s">
        <v>791</v>
      </c>
      <c r="E105" s="69" t="s">
        <v>511</v>
      </c>
      <c r="F105" s="69"/>
      <c r="G105" s="84">
        <f>G106</f>
        <v>10537</v>
      </c>
      <c r="H105" s="84">
        <f>H106</f>
        <v>10626.5</v>
      </c>
      <c r="I105" s="84">
        <f>I106</f>
        <v>10691.2</v>
      </c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35.25" customHeight="1">
      <c r="A106" s="121" t="s">
        <v>825</v>
      </c>
      <c r="B106" s="80"/>
      <c r="C106" s="69" t="s">
        <v>792</v>
      </c>
      <c r="D106" s="69" t="s">
        <v>791</v>
      </c>
      <c r="E106" s="69" t="s">
        <v>511</v>
      </c>
      <c r="F106" s="69" t="s">
        <v>506</v>
      </c>
      <c r="G106" s="84">
        <f>'прил.16'!G1033</f>
        <v>10537</v>
      </c>
      <c r="H106" s="84">
        <f>'прил.16'!H1033</f>
        <v>10626.5</v>
      </c>
      <c r="I106" s="84">
        <f>'прил.16'!I1033</f>
        <v>10691.2</v>
      </c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6.5">
      <c r="A107" s="119" t="s">
        <v>614</v>
      </c>
      <c r="B107" s="79"/>
      <c r="C107" s="69" t="s">
        <v>792</v>
      </c>
      <c r="D107" s="69" t="s">
        <v>791</v>
      </c>
      <c r="E107" s="69" t="s">
        <v>512</v>
      </c>
      <c r="F107" s="69"/>
      <c r="G107" s="84">
        <f>G108</f>
        <v>97.1</v>
      </c>
      <c r="H107" s="84">
        <f>H108</f>
        <v>102</v>
      </c>
      <c r="I107" s="84">
        <f>I108</f>
        <v>106.6</v>
      </c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32.25" customHeight="1">
      <c r="A108" s="121" t="s">
        <v>825</v>
      </c>
      <c r="B108" s="80"/>
      <c r="C108" s="69" t="s">
        <v>792</v>
      </c>
      <c r="D108" s="69" t="s">
        <v>791</v>
      </c>
      <c r="E108" s="69" t="s">
        <v>512</v>
      </c>
      <c r="F108" s="69" t="s">
        <v>506</v>
      </c>
      <c r="G108" s="84">
        <f>'прил.16'!G1035</f>
        <v>97.1</v>
      </c>
      <c r="H108" s="84">
        <f>'прил.16'!H1035</f>
        <v>102</v>
      </c>
      <c r="I108" s="84">
        <f>'прил.16'!I1035</f>
        <v>106.6</v>
      </c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33" customHeight="1">
      <c r="A109" s="116" t="s">
        <v>615</v>
      </c>
      <c r="B109" s="75"/>
      <c r="C109" s="69" t="s">
        <v>792</v>
      </c>
      <c r="D109" s="69" t="s">
        <v>791</v>
      </c>
      <c r="E109" s="69" t="s">
        <v>513</v>
      </c>
      <c r="F109" s="69"/>
      <c r="G109" s="84">
        <f>G110</f>
        <v>658.9</v>
      </c>
      <c r="H109" s="84">
        <f>H110</f>
        <v>691.9</v>
      </c>
      <c r="I109" s="84">
        <f>I110</f>
        <v>723.1</v>
      </c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18" customHeight="1">
      <c r="A110" s="116" t="s">
        <v>541</v>
      </c>
      <c r="B110" s="75"/>
      <c r="C110" s="69" t="s">
        <v>792</v>
      </c>
      <c r="D110" s="69" t="s">
        <v>791</v>
      </c>
      <c r="E110" s="69" t="s">
        <v>513</v>
      </c>
      <c r="F110" s="69" t="s">
        <v>51</v>
      </c>
      <c r="G110" s="84">
        <f>'прил.16'!G1037</f>
        <v>658.9</v>
      </c>
      <c r="H110" s="84">
        <f>'прил.16'!H1037</f>
        <v>691.9</v>
      </c>
      <c r="I110" s="84">
        <f>'прил.16'!I1037</f>
        <v>723.1</v>
      </c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33.75" customHeight="1">
      <c r="A111" s="116" t="s">
        <v>616</v>
      </c>
      <c r="B111" s="75"/>
      <c r="C111" s="69" t="s">
        <v>792</v>
      </c>
      <c r="D111" s="69" t="s">
        <v>40</v>
      </c>
      <c r="E111" s="69"/>
      <c r="F111" s="69"/>
      <c r="G111" s="84">
        <f>G112+G117</f>
        <v>38341</v>
      </c>
      <c r="H111" s="84">
        <f>H112+H117</f>
        <v>34949</v>
      </c>
      <c r="I111" s="84">
        <f>I112+I117</f>
        <v>35379.4</v>
      </c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16.5">
      <c r="A112" s="116" t="s">
        <v>617</v>
      </c>
      <c r="B112" s="75"/>
      <c r="C112" s="69" t="s">
        <v>792</v>
      </c>
      <c r="D112" s="69" t="s">
        <v>40</v>
      </c>
      <c r="E112" s="69" t="s">
        <v>388</v>
      </c>
      <c r="F112" s="69"/>
      <c r="G112" s="84">
        <f>G113+G115</f>
        <v>38062.6</v>
      </c>
      <c r="H112" s="84">
        <f>H113+H115</f>
        <v>34713</v>
      </c>
      <c r="I112" s="84">
        <f>I113+I115</f>
        <v>35020.4</v>
      </c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16.5">
      <c r="A113" s="116" t="s">
        <v>564</v>
      </c>
      <c r="B113" s="75"/>
      <c r="C113" s="69" t="s">
        <v>792</v>
      </c>
      <c r="D113" s="69" t="s">
        <v>40</v>
      </c>
      <c r="E113" s="69" t="s">
        <v>474</v>
      </c>
      <c r="F113" s="69"/>
      <c r="G113" s="84">
        <f>G114</f>
        <v>370.9</v>
      </c>
      <c r="H113" s="84">
        <f>H114</f>
        <v>370.9</v>
      </c>
      <c r="I113" s="84">
        <f>I114</f>
        <v>370.9</v>
      </c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6.5">
      <c r="A114" s="118" t="s">
        <v>836</v>
      </c>
      <c r="B114" s="85"/>
      <c r="C114" s="69" t="s">
        <v>792</v>
      </c>
      <c r="D114" s="69" t="s">
        <v>40</v>
      </c>
      <c r="E114" s="69" t="s">
        <v>474</v>
      </c>
      <c r="F114" s="69" t="s">
        <v>545</v>
      </c>
      <c r="G114" s="84">
        <f>'прил.16'!G71</f>
        <v>370.9</v>
      </c>
      <c r="H114" s="84">
        <f>'прил.16'!H71</f>
        <v>370.9</v>
      </c>
      <c r="I114" s="84">
        <f>'прил.16'!I71</f>
        <v>370.9</v>
      </c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6.5">
      <c r="A115" s="116" t="s">
        <v>540</v>
      </c>
      <c r="B115" s="75"/>
      <c r="C115" s="69" t="s">
        <v>792</v>
      </c>
      <c r="D115" s="69" t="s">
        <v>40</v>
      </c>
      <c r="E115" s="69" t="s">
        <v>387</v>
      </c>
      <c r="F115" s="69"/>
      <c r="G115" s="84">
        <f>G116</f>
        <v>37691.7</v>
      </c>
      <c r="H115" s="84">
        <f>H116+'прил.16'!H871</f>
        <v>34342.1</v>
      </c>
      <c r="I115" s="84">
        <f>I116+'прил.16'!I871</f>
        <v>34649.5</v>
      </c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6.5">
      <c r="A116" s="118" t="s">
        <v>836</v>
      </c>
      <c r="B116" s="85"/>
      <c r="C116" s="69" t="s">
        <v>792</v>
      </c>
      <c r="D116" s="69" t="s">
        <v>40</v>
      </c>
      <c r="E116" s="69" t="s">
        <v>387</v>
      </c>
      <c r="F116" s="69" t="s">
        <v>545</v>
      </c>
      <c r="G116" s="84">
        <f>'прил.16'!G73+'прил.16'!G871</f>
        <v>37691.7</v>
      </c>
      <c r="H116" s="84">
        <f>'прил.16'!H73+'прил.16'!H871</f>
        <v>34342.1</v>
      </c>
      <c r="I116" s="84">
        <f>'прил.16'!I73+'прил.16'!I871</f>
        <v>34649.5</v>
      </c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9.5" customHeight="1">
      <c r="A117" s="116" t="s">
        <v>349</v>
      </c>
      <c r="B117" s="75"/>
      <c r="C117" s="69" t="s">
        <v>792</v>
      </c>
      <c r="D117" s="69" t="s">
        <v>40</v>
      </c>
      <c r="E117" s="81" t="s">
        <v>343</v>
      </c>
      <c r="F117" s="69"/>
      <c r="G117" s="84">
        <f>G119</f>
        <v>278.4</v>
      </c>
      <c r="H117" s="84">
        <f>H119</f>
        <v>236</v>
      </c>
      <c r="I117" s="84">
        <f>I119</f>
        <v>359</v>
      </c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9.5" customHeight="1">
      <c r="A118" s="116" t="s">
        <v>380</v>
      </c>
      <c r="B118" s="75"/>
      <c r="C118" s="69" t="s">
        <v>792</v>
      </c>
      <c r="D118" s="69" t="s">
        <v>40</v>
      </c>
      <c r="E118" s="69" t="s">
        <v>344</v>
      </c>
      <c r="F118" s="69"/>
      <c r="G118" s="84">
        <f aca="true" t="shared" si="10" ref="G118:I119">G119</f>
        <v>278.4</v>
      </c>
      <c r="H118" s="84">
        <f t="shared" si="10"/>
        <v>236</v>
      </c>
      <c r="I118" s="84">
        <f t="shared" si="10"/>
        <v>359</v>
      </c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9.5" customHeight="1">
      <c r="A119" s="116" t="s">
        <v>566</v>
      </c>
      <c r="B119" s="75"/>
      <c r="C119" s="69" t="s">
        <v>792</v>
      </c>
      <c r="D119" s="69" t="s">
        <v>40</v>
      </c>
      <c r="E119" s="69" t="s">
        <v>354</v>
      </c>
      <c r="F119" s="69"/>
      <c r="G119" s="84">
        <f t="shared" si="10"/>
        <v>278.4</v>
      </c>
      <c r="H119" s="84">
        <f t="shared" si="10"/>
        <v>236</v>
      </c>
      <c r="I119" s="84">
        <f t="shared" si="10"/>
        <v>359</v>
      </c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8" customHeight="1">
      <c r="A120" s="118" t="s">
        <v>346</v>
      </c>
      <c r="B120" s="78"/>
      <c r="C120" s="69" t="s">
        <v>792</v>
      </c>
      <c r="D120" s="69" t="s">
        <v>40</v>
      </c>
      <c r="E120" s="69" t="s">
        <v>354</v>
      </c>
      <c r="F120" s="69" t="s">
        <v>197</v>
      </c>
      <c r="G120" s="84">
        <f>'прил.16'!G77</f>
        <v>278.4</v>
      </c>
      <c r="H120" s="84">
        <f>'прил.16'!H77</f>
        <v>236</v>
      </c>
      <c r="I120" s="84">
        <f>'прил.16'!I77</f>
        <v>359</v>
      </c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36.75" customHeight="1" hidden="1">
      <c r="A121" s="119" t="s">
        <v>229</v>
      </c>
      <c r="B121" s="79"/>
      <c r="C121" s="69" t="s">
        <v>792</v>
      </c>
      <c r="D121" s="69" t="s">
        <v>544</v>
      </c>
      <c r="E121" s="69"/>
      <c r="F121" s="69"/>
      <c r="G121" s="84">
        <f aca="true" t="shared" si="11" ref="G121:I122">G122</f>
        <v>0</v>
      </c>
      <c r="H121" s="84">
        <f t="shared" si="11"/>
        <v>0</v>
      </c>
      <c r="I121" s="84">
        <f t="shared" si="11"/>
        <v>0</v>
      </c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33" hidden="1">
      <c r="A122" s="119" t="s">
        <v>561</v>
      </c>
      <c r="B122" s="92"/>
      <c r="C122" s="69" t="s">
        <v>792</v>
      </c>
      <c r="D122" s="69" t="s">
        <v>544</v>
      </c>
      <c r="E122" s="69" t="s">
        <v>341</v>
      </c>
      <c r="F122" s="69"/>
      <c r="G122" s="84">
        <f t="shared" si="11"/>
        <v>0</v>
      </c>
      <c r="H122" s="84">
        <f t="shared" si="11"/>
        <v>0</v>
      </c>
      <c r="I122" s="84">
        <f t="shared" si="11"/>
        <v>0</v>
      </c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6.5" hidden="1">
      <c r="A123" s="118" t="s">
        <v>346</v>
      </c>
      <c r="B123" s="78"/>
      <c r="C123" s="69" t="s">
        <v>792</v>
      </c>
      <c r="D123" s="69" t="s">
        <v>544</v>
      </c>
      <c r="E123" s="69" t="s">
        <v>341</v>
      </c>
      <c r="F123" s="69" t="s">
        <v>197</v>
      </c>
      <c r="G123" s="84">
        <f>'прил.16'!G80</f>
        <v>0</v>
      </c>
      <c r="H123" s="84">
        <f>'прил.16'!H80</f>
        <v>0</v>
      </c>
      <c r="I123" s="84">
        <f>'прил.16'!I80</f>
        <v>0</v>
      </c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6.5">
      <c r="A124" s="116" t="s">
        <v>41</v>
      </c>
      <c r="B124" s="75"/>
      <c r="C124" s="69" t="s">
        <v>793</v>
      </c>
      <c r="D124" s="69"/>
      <c r="E124" s="69"/>
      <c r="F124" s="69"/>
      <c r="G124" s="84">
        <f>G125+G134+G138</f>
        <v>148281.90000000002</v>
      </c>
      <c r="H124" s="84">
        <f>H125+H134+H138</f>
        <v>126825.1</v>
      </c>
      <c r="I124" s="84">
        <f>I125+I134+I138</f>
        <v>124417.79999999999</v>
      </c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7.25" customHeight="1" hidden="1">
      <c r="A125" s="120" t="s">
        <v>618</v>
      </c>
      <c r="B125" s="75"/>
      <c r="C125" s="69" t="s">
        <v>793</v>
      </c>
      <c r="D125" s="69" t="s">
        <v>790</v>
      </c>
      <c r="E125" s="93"/>
      <c r="F125" s="69"/>
      <c r="G125" s="84">
        <f>G126+G131</f>
        <v>1418.3</v>
      </c>
      <c r="H125" s="84">
        <f>H126+H131</f>
        <v>0</v>
      </c>
      <c r="I125" s="84">
        <f>I126+I131</f>
        <v>0</v>
      </c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7.25" customHeight="1" hidden="1">
      <c r="A126" s="120" t="s">
        <v>758</v>
      </c>
      <c r="B126" s="75"/>
      <c r="C126" s="69" t="s">
        <v>793</v>
      </c>
      <c r="D126" s="69" t="s">
        <v>790</v>
      </c>
      <c r="E126" s="93" t="s">
        <v>757</v>
      </c>
      <c r="F126" s="69"/>
      <c r="G126" s="84">
        <f>G127+G129</f>
        <v>1418.3</v>
      </c>
      <c r="H126" s="84">
        <f>H127+H129</f>
        <v>0</v>
      </c>
      <c r="I126" s="84">
        <f>I127+I129</f>
        <v>0</v>
      </c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36.75" customHeight="1" hidden="1">
      <c r="A127" s="120" t="s">
        <v>760</v>
      </c>
      <c r="B127" s="75"/>
      <c r="C127" s="69" t="s">
        <v>793</v>
      </c>
      <c r="D127" s="69" t="s">
        <v>790</v>
      </c>
      <c r="E127" s="93" t="s">
        <v>759</v>
      </c>
      <c r="F127" s="69"/>
      <c r="G127" s="84">
        <f>G128</f>
        <v>1418.3</v>
      </c>
      <c r="H127" s="84">
        <f>H128</f>
        <v>0</v>
      </c>
      <c r="I127" s="84">
        <f>I128</f>
        <v>0</v>
      </c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7.25" customHeight="1" hidden="1">
      <c r="A128" s="118" t="s">
        <v>836</v>
      </c>
      <c r="B128" s="75"/>
      <c r="C128" s="69" t="s">
        <v>793</v>
      </c>
      <c r="D128" s="69" t="s">
        <v>790</v>
      </c>
      <c r="E128" s="93" t="s">
        <v>759</v>
      </c>
      <c r="F128" s="69" t="s">
        <v>545</v>
      </c>
      <c r="G128" s="84">
        <f>'прил.16'!G85+'прил.16'!G259+'прил.16'!G277+'прил.16'!G411+'прил.16'!G527+'прил.16'!G553+'прил.16'!G644+'прил.16'!G716</f>
        <v>1418.3</v>
      </c>
      <c r="H128" s="84">
        <f>'прил.16'!H85+'прил.16'!H259+'прил.16'!H277+'прил.16'!H411+'прил.16'!H527+'прил.16'!H553+'прил.16'!H644+'прил.16'!H716</f>
        <v>0</v>
      </c>
      <c r="I128" s="84">
        <f>'прил.16'!I85+'прил.16'!I259+'прил.16'!I277+'прил.16'!I411+'прил.16'!I527+'прил.16'!I553+'прил.16'!I644+'прил.16'!I716</f>
        <v>0</v>
      </c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37.5" customHeight="1" hidden="1">
      <c r="A129" s="118" t="s">
        <v>568</v>
      </c>
      <c r="B129" s="75"/>
      <c r="C129" s="69" t="s">
        <v>793</v>
      </c>
      <c r="D129" s="69" t="s">
        <v>790</v>
      </c>
      <c r="E129" s="69" t="s">
        <v>567</v>
      </c>
      <c r="F129" s="69"/>
      <c r="G129" s="84">
        <f>G130</f>
        <v>0</v>
      </c>
      <c r="H129" s="84">
        <f>H130</f>
        <v>0</v>
      </c>
      <c r="I129" s="84">
        <f>I130</f>
        <v>0</v>
      </c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7.25" customHeight="1" hidden="1">
      <c r="A130" s="118" t="s">
        <v>836</v>
      </c>
      <c r="B130" s="75"/>
      <c r="C130" s="69" t="s">
        <v>793</v>
      </c>
      <c r="D130" s="69" t="s">
        <v>790</v>
      </c>
      <c r="E130" s="69" t="s">
        <v>567</v>
      </c>
      <c r="F130" s="69" t="s">
        <v>545</v>
      </c>
      <c r="G130" s="84">
        <f>'прил.16'!G87+'прил.16'!G171+'прил.16'!G279+'прил.16'!G413+'прил.16'!G529+'прил.16'!G555+'прил.16'!G646+'прил.16'!G718+'прил.16'!G822</f>
        <v>0</v>
      </c>
      <c r="H130" s="84">
        <f>'прил.16'!H87+'прил.16'!H171+'прил.16'!H279+'прил.16'!H413+'прил.16'!H529+'прил.16'!H555+'прил.16'!H646+'прил.16'!H718+'прил.16'!H822</f>
        <v>0</v>
      </c>
      <c r="I130" s="84">
        <f>'прил.16'!I87+'прил.16'!I171+'прил.16'!I279+'прил.16'!I413+'прил.16'!I529+'прил.16'!I555+'прил.16'!I646+'прил.16'!I718+'прил.16'!I822</f>
        <v>0</v>
      </c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7.25" customHeight="1" hidden="1">
      <c r="A131" s="118" t="s">
        <v>277</v>
      </c>
      <c r="B131" s="75"/>
      <c r="C131" s="69" t="s">
        <v>793</v>
      </c>
      <c r="D131" s="69" t="s">
        <v>790</v>
      </c>
      <c r="E131" s="69" t="s">
        <v>381</v>
      </c>
      <c r="F131" s="69"/>
      <c r="G131" s="84">
        <f aca="true" t="shared" si="12" ref="G131:I132">G132</f>
        <v>0</v>
      </c>
      <c r="H131" s="84">
        <f t="shared" si="12"/>
        <v>0</v>
      </c>
      <c r="I131" s="84">
        <f t="shared" si="12"/>
        <v>0</v>
      </c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52.5" customHeight="1" hidden="1">
      <c r="A132" s="118" t="s">
        <v>569</v>
      </c>
      <c r="B132" s="75"/>
      <c r="C132" s="69" t="s">
        <v>793</v>
      </c>
      <c r="D132" s="69" t="s">
        <v>790</v>
      </c>
      <c r="E132" s="69" t="s">
        <v>572</v>
      </c>
      <c r="F132" s="69"/>
      <c r="G132" s="84">
        <f t="shared" si="12"/>
        <v>0</v>
      </c>
      <c r="H132" s="84">
        <f t="shared" si="12"/>
        <v>0</v>
      </c>
      <c r="I132" s="84">
        <f t="shared" si="12"/>
        <v>0</v>
      </c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7.25" customHeight="1" hidden="1">
      <c r="A133" s="118" t="s">
        <v>836</v>
      </c>
      <c r="B133" s="75"/>
      <c r="C133" s="69" t="s">
        <v>793</v>
      </c>
      <c r="D133" s="69" t="s">
        <v>790</v>
      </c>
      <c r="E133" s="69" t="s">
        <v>572</v>
      </c>
      <c r="F133" s="69" t="s">
        <v>545</v>
      </c>
      <c r="G133" s="94">
        <f>'прил.16'!G90+'прил.16'!G174+'прил.16'!G282+'прил.16'!G416+'прил.16'!G532+'прил.16'!G558+'прил.16'!G649+'прил.16'!G721+'прил.16'!G825</f>
        <v>0</v>
      </c>
      <c r="H133" s="94">
        <f>'прил.16'!H90+'прил.16'!H174+'прил.16'!H282+'прил.16'!H416+'прил.16'!H532+'прил.16'!H558+'прил.16'!H649+'прил.16'!H721+'прил.16'!H825</f>
        <v>0</v>
      </c>
      <c r="I133" s="94">
        <f>'прил.16'!I90+'прил.16'!I174+'прил.16'!I282+'прил.16'!I416+'прил.16'!I532+'прил.16'!I558+'прил.16'!I649+'прил.16'!I721+'прил.16'!I825</f>
        <v>0</v>
      </c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6.5">
      <c r="A134" s="116" t="s">
        <v>619</v>
      </c>
      <c r="B134" s="75"/>
      <c r="C134" s="69" t="s">
        <v>793</v>
      </c>
      <c r="D134" s="69" t="s">
        <v>471</v>
      </c>
      <c r="E134" s="69"/>
      <c r="F134" s="69"/>
      <c r="G134" s="84">
        <f>G135</f>
        <v>45290</v>
      </c>
      <c r="H134" s="84">
        <f aca="true" t="shared" si="13" ref="H134:I136">H135</f>
        <v>33992.6</v>
      </c>
      <c r="I134" s="84">
        <f t="shared" si="13"/>
        <v>34376.9</v>
      </c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s="19" customFormat="1" ht="16.5">
      <c r="A135" s="116" t="s">
        <v>620</v>
      </c>
      <c r="B135" s="75"/>
      <c r="C135" s="69" t="s">
        <v>793</v>
      </c>
      <c r="D135" s="69" t="s">
        <v>471</v>
      </c>
      <c r="E135" s="69" t="s">
        <v>182</v>
      </c>
      <c r="F135" s="69"/>
      <c r="G135" s="84">
        <f>G136</f>
        <v>45290</v>
      </c>
      <c r="H135" s="84">
        <f t="shared" si="13"/>
        <v>33992.6</v>
      </c>
      <c r="I135" s="84">
        <f t="shared" si="13"/>
        <v>34376.9</v>
      </c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s="21" customFormat="1" ht="18" customHeight="1">
      <c r="A136" s="116" t="s">
        <v>540</v>
      </c>
      <c r="B136" s="75"/>
      <c r="C136" s="69" t="s">
        <v>793</v>
      </c>
      <c r="D136" s="69" t="s">
        <v>471</v>
      </c>
      <c r="E136" s="69" t="s">
        <v>183</v>
      </c>
      <c r="F136" s="69"/>
      <c r="G136" s="84">
        <f>G137</f>
        <v>45290</v>
      </c>
      <c r="H136" s="84">
        <f t="shared" si="13"/>
        <v>33992.6</v>
      </c>
      <c r="I136" s="84">
        <f t="shared" si="13"/>
        <v>34376.9</v>
      </c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s="20" customFormat="1" ht="18.75" customHeight="1">
      <c r="A137" s="118" t="s">
        <v>836</v>
      </c>
      <c r="B137" s="85"/>
      <c r="C137" s="69" t="s">
        <v>793</v>
      </c>
      <c r="D137" s="69" t="s">
        <v>471</v>
      </c>
      <c r="E137" s="69" t="s">
        <v>183</v>
      </c>
      <c r="F137" s="69" t="s">
        <v>545</v>
      </c>
      <c r="G137" s="84">
        <f>'прил.16'!G94</f>
        <v>45290</v>
      </c>
      <c r="H137" s="84">
        <f>'прил.16'!H94</f>
        <v>33992.6</v>
      </c>
      <c r="I137" s="84">
        <f>'прил.16'!I94</f>
        <v>34376.9</v>
      </c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8" customHeight="1">
      <c r="A138" s="116" t="s">
        <v>419</v>
      </c>
      <c r="B138" s="75"/>
      <c r="C138" s="69" t="s">
        <v>793</v>
      </c>
      <c r="D138" s="69" t="s">
        <v>509</v>
      </c>
      <c r="E138" s="69"/>
      <c r="F138" s="69"/>
      <c r="G138" s="84">
        <f>G139+G146+G151+G142</f>
        <v>101573.6</v>
      </c>
      <c r="H138" s="84">
        <f>H139+H146+H151</f>
        <v>92832.5</v>
      </c>
      <c r="I138" s="84">
        <f>I139+I146+I151</f>
        <v>90040.9</v>
      </c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53.25" customHeight="1">
      <c r="A139" s="118" t="s">
        <v>26</v>
      </c>
      <c r="B139" s="75"/>
      <c r="C139" s="69" t="s">
        <v>793</v>
      </c>
      <c r="D139" s="69" t="s">
        <v>509</v>
      </c>
      <c r="E139" s="69" t="s">
        <v>27</v>
      </c>
      <c r="F139" s="69"/>
      <c r="G139" s="84">
        <f aca="true" t="shared" si="14" ref="G139:I140">G140</f>
        <v>64780.4</v>
      </c>
      <c r="H139" s="84">
        <f t="shared" si="14"/>
        <v>64643.200000000004</v>
      </c>
      <c r="I139" s="84">
        <f t="shared" si="14"/>
        <v>64689</v>
      </c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6.5">
      <c r="A140" s="118" t="s">
        <v>560</v>
      </c>
      <c r="B140" s="86"/>
      <c r="C140" s="69" t="s">
        <v>793</v>
      </c>
      <c r="D140" s="69" t="s">
        <v>509</v>
      </c>
      <c r="E140" s="69" t="s">
        <v>29</v>
      </c>
      <c r="F140" s="69"/>
      <c r="G140" s="84">
        <f t="shared" si="14"/>
        <v>64780.4</v>
      </c>
      <c r="H140" s="84">
        <f t="shared" si="14"/>
        <v>64643.200000000004</v>
      </c>
      <c r="I140" s="84">
        <f t="shared" si="14"/>
        <v>64689</v>
      </c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6.5">
      <c r="A141" s="118" t="s">
        <v>346</v>
      </c>
      <c r="B141" s="78"/>
      <c r="C141" s="69" t="s">
        <v>793</v>
      </c>
      <c r="D141" s="69" t="s">
        <v>509</v>
      </c>
      <c r="E141" s="69" t="s">
        <v>29</v>
      </c>
      <c r="F141" s="69" t="s">
        <v>197</v>
      </c>
      <c r="G141" s="84">
        <f>'прил.16'!G263+'прил.16'!G811+'прил.16'!G849</f>
        <v>64780.4</v>
      </c>
      <c r="H141" s="84">
        <f>'прил.16'!H263+'прил.16'!H811+'прил.16'!H849</f>
        <v>64643.200000000004</v>
      </c>
      <c r="I141" s="84">
        <f>'прил.16'!I263+'прил.16'!I811+'прил.16'!I849</f>
        <v>64689</v>
      </c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33" hidden="1">
      <c r="A142" s="118" t="s">
        <v>621</v>
      </c>
      <c r="B142" s="78"/>
      <c r="C142" s="69" t="s">
        <v>793</v>
      </c>
      <c r="D142" s="69" t="s">
        <v>509</v>
      </c>
      <c r="E142" s="69" t="s">
        <v>392</v>
      </c>
      <c r="F142" s="69"/>
      <c r="G142" s="84">
        <f aca="true" t="shared" si="15" ref="G142:I144">G143</f>
        <v>12000</v>
      </c>
      <c r="H142" s="84">
        <f t="shared" si="15"/>
        <v>0</v>
      </c>
      <c r="I142" s="84">
        <f t="shared" si="15"/>
        <v>0</v>
      </c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6.5" hidden="1">
      <c r="A143" s="118" t="s">
        <v>752</v>
      </c>
      <c r="B143" s="78"/>
      <c r="C143" s="69" t="s">
        <v>793</v>
      </c>
      <c r="D143" s="69" t="s">
        <v>509</v>
      </c>
      <c r="E143" s="69" t="s">
        <v>800</v>
      </c>
      <c r="F143" s="69"/>
      <c r="G143" s="84">
        <f t="shared" si="15"/>
        <v>12000</v>
      </c>
      <c r="H143" s="84">
        <f t="shared" si="15"/>
        <v>0</v>
      </c>
      <c r="I143" s="84">
        <f t="shared" si="15"/>
        <v>0</v>
      </c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6.5" hidden="1">
      <c r="A144" s="118" t="s">
        <v>623</v>
      </c>
      <c r="B144" s="78"/>
      <c r="C144" s="69" t="s">
        <v>793</v>
      </c>
      <c r="D144" s="69" t="s">
        <v>509</v>
      </c>
      <c r="E144" s="69" t="s">
        <v>803</v>
      </c>
      <c r="F144" s="69"/>
      <c r="G144" s="84">
        <f t="shared" si="15"/>
        <v>12000</v>
      </c>
      <c r="H144" s="84">
        <f t="shared" si="15"/>
        <v>0</v>
      </c>
      <c r="I144" s="84">
        <f t="shared" si="15"/>
        <v>0</v>
      </c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6.5" hidden="1">
      <c r="A145" s="119" t="s">
        <v>189</v>
      </c>
      <c r="B145" s="78"/>
      <c r="C145" s="69" t="s">
        <v>793</v>
      </c>
      <c r="D145" s="69" t="s">
        <v>509</v>
      </c>
      <c r="E145" s="69" t="s">
        <v>803</v>
      </c>
      <c r="F145" s="69" t="s">
        <v>827</v>
      </c>
      <c r="G145" s="84">
        <f>'прил.16'!G923</f>
        <v>12000</v>
      </c>
      <c r="H145" s="84">
        <f>'прил.16'!H923</f>
        <v>0</v>
      </c>
      <c r="I145" s="84">
        <f>'прил.16'!I923</f>
        <v>0</v>
      </c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8" customHeight="1">
      <c r="A146" s="116" t="s">
        <v>624</v>
      </c>
      <c r="B146" s="75"/>
      <c r="C146" s="69" t="s">
        <v>793</v>
      </c>
      <c r="D146" s="69" t="s">
        <v>509</v>
      </c>
      <c r="E146" s="69" t="s">
        <v>420</v>
      </c>
      <c r="F146" s="69"/>
      <c r="G146" s="84">
        <f>G147+G149</f>
        <v>10320.7</v>
      </c>
      <c r="H146" s="84">
        <f>H147+H149</f>
        <v>10336.8</v>
      </c>
      <c r="I146" s="84">
        <f>I147+I149</f>
        <v>10351.9</v>
      </c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6.5">
      <c r="A147" s="119" t="s">
        <v>434</v>
      </c>
      <c r="B147" s="79"/>
      <c r="C147" s="69" t="s">
        <v>793</v>
      </c>
      <c r="D147" s="69" t="s">
        <v>509</v>
      </c>
      <c r="E147" s="69" t="s">
        <v>435</v>
      </c>
      <c r="F147" s="69"/>
      <c r="G147" s="84">
        <f>G148</f>
        <v>10320.7</v>
      </c>
      <c r="H147" s="84">
        <f>H148</f>
        <v>10336.8</v>
      </c>
      <c r="I147" s="84">
        <f>I148</f>
        <v>10351.9</v>
      </c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18" customHeight="1">
      <c r="A148" s="118" t="s">
        <v>346</v>
      </c>
      <c r="B148" s="78"/>
      <c r="C148" s="69" t="s">
        <v>793</v>
      </c>
      <c r="D148" s="69" t="s">
        <v>509</v>
      </c>
      <c r="E148" s="69" t="s">
        <v>435</v>
      </c>
      <c r="F148" s="69" t="s">
        <v>197</v>
      </c>
      <c r="G148" s="84">
        <f>'прил.16'!G814+'прил.16'!G190+'прил.16'!G266</f>
        <v>10320.7</v>
      </c>
      <c r="H148" s="84">
        <f>'прил.16'!H814+'прил.16'!H190+'прил.16'!H266</f>
        <v>10336.8</v>
      </c>
      <c r="I148" s="84">
        <f>'прил.16'!I814+'прил.16'!I190+'прил.16'!I266</f>
        <v>10351.9</v>
      </c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ht="34.5" customHeight="1" hidden="1">
      <c r="A149" s="118" t="s">
        <v>275</v>
      </c>
      <c r="B149" s="89">
        <v>811</v>
      </c>
      <c r="C149" s="69" t="s">
        <v>793</v>
      </c>
      <c r="D149" s="69" t="s">
        <v>509</v>
      </c>
      <c r="E149" s="69" t="s">
        <v>260</v>
      </c>
      <c r="F149" s="69"/>
      <c r="G149" s="84">
        <f>G150</f>
        <v>0</v>
      </c>
      <c r="H149" s="84">
        <f>H150</f>
        <v>0</v>
      </c>
      <c r="I149" s="84">
        <f>I150</f>
        <v>0</v>
      </c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ht="18" customHeight="1" hidden="1">
      <c r="A150" s="119" t="s">
        <v>189</v>
      </c>
      <c r="B150" s="89">
        <v>811</v>
      </c>
      <c r="C150" s="69" t="s">
        <v>793</v>
      </c>
      <c r="D150" s="69" t="s">
        <v>509</v>
      </c>
      <c r="E150" s="69" t="s">
        <v>260</v>
      </c>
      <c r="F150" s="69" t="s">
        <v>827</v>
      </c>
      <c r="G150" s="84">
        <f>'прил.16'!G816</f>
        <v>0</v>
      </c>
      <c r="H150" s="84">
        <f>'прил.16'!H816</f>
        <v>0</v>
      </c>
      <c r="I150" s="84">
        <f>'прил.16'!I816</f>
        <v>0</v>
      </c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ht="18" customHeight="1">
      <c r="A151" s="116" t="s">
        <v>349</v>
      </c>
      <c r="B151" s="89"/>
      <c r="C151" s="69" t="s">
        <v>793</v>
      </c>
      <c r="D151" s="69" t="s">
        <v>509</v>
      </c>
      <c r="E151" s="69" t="s">
        <v>343</v>
      </c>
      <c r="F151" s="69"/>
      <c r="G151" s="84">
        <f>G152</f>
        <v>14472.5</v>
      </c>
      <c r="H151" s="84">
        <f>H152</f>
        <v>17852.5</v>
      </c>
      <c r="I151" s="84">
        <f>I152</f>
        <v>15000</v>
      </c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ht="18" customHeight="1">
      <c r="A152" s="116" t="s">
        <v>380</v>
      </c>
      <c r="B152" s="89"/>
      <c r="C152" s="69" t="s">
        <v>793</v>
      </c>
      <c r="D152" s="69" t="s">
        <v>509</v>
      </c>
      <c r="E152" s="69" t="s">
        <v>344</v>
      </c>
      <c r="F152" s="69"/>
      <c r="G152" s="84">
        <f>G153+G155</f>
        <v>14472.5</v>
      </c>
      <c r="H152" s="84">
        <f>H153+H155</f>
        <v>17852.5</v>
      </c>
      <c r="I152" s="84">
        <f>I153+I155</f>
        <v>15000</v>
      </c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ht="36" customHeight="1">
      <c r="A153" s="118" t="s">
        <v>320</v>
      </c>
      <c r="B153" s="89"/>
      <c r="C153" s="69" t="s">
        <v>793</v>
      </c>
      <c r="D153" s="69" t="s">
        <v>509</v>
      </c>
      <c r="E153" s="69" t="s">
        <v>358</v>
      </c>
      <c r="F153" s="69"/>
      <c r="G153" s="84">
        <f>G154</f>
        <v>2472.5</v>
      </c>
      <c r="H153" s="84">
        <f>H154</f>
        <v>2852.5</v>
      </c>
      <c r="I153" s="84">
        <f>I154</f>
        <v>0</v>
      </c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ht="16.5">
      <c r="A154" s="116" t="s">
        <v>625</v>
      </c>
      <c r="B154" s="89"/>
      <c r="C154" s="69" t="s">
        <v>793</v>
      </c>
      <c r="D154" s="69" t="s">
        <v>509</v>
      </c>
      <c r="E154" s="69" t="s">
        <v>358</v>
      </c>
      <c r="F154" s="69" t="s">
        <v>238</v>
      </c>
      <c r="G154" s="84">
        <f>'прил.16'!G99</f>
        <v>2472.5</v>
      </c>
      <c r="H154" s="84">
        <f>'прил.16'!H99</f>
        <v>2852.5</v>
      </c>
      <c r="I154" s="84">
        <f>'прил.16'!I99</f>
        <v>0</v>
      </c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ht="24" customHeight="1">
      <c r="A155" s="116" t="s">
        <v>356</v>
      </c>
      <c r="B155" s="89"/>
      <c r="C155" s="69" t="s">
        <v>793</v>
      </c>
      <c r="D155" s="69" t="s">
        <v>509</v>
      </c>
      <c r="E155" s="89" t="s">
        <v>362</v>
      </c>
      <c r="F155" s="69"/>
      <c r="G155" s="84">
        <f>G156</f>
        <v>12000</v>
      </c>
      <c r="H155" s="84">
        <f>H156</f>
        <v>15000</v>
      </c>
      <c r="I155" s="84">
        <f>I156</f>
        <v>15000</v>
      </c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ht="16.5">
      <c r="A156" s="116" t="s">
        <v>625</v>
      </c>
      <c r="B156" s="89"/>
      <c r="C156" s="69" t="s">
        <v>793</v>
      </c>
      <c r="D156" s="69" t="s">
        <v>509</v>
      </c>
      <c r="E156" s="89" t="s">
        <v>362</v>
      </c>
      <c r="F156" s="69" t="s">
        <v>238</v>
      </c>
      <c r="G156" s="84">
        <f>'прил.16'!G101</f>
        <v>12000</v>
      </c>
      <c r="H156" s="84">
        <f>'прил.16'!H101</f>
        <v>15000</v>
      </c>
      <c r="I156" s="84">
        <f>'прил.16'!I101</f>
        <v>15000</v>
      </c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s="19" customFormat="1" ht="16.5">
      <c r="A157" s="116" t="s">
        <v>46</v>
      </c>
      <c r="B157" s="75"/>
      <c r="C157" s="69" t="s">
        <v>42</v>
      </c>
      <c r="D157" s="69"/>
      <c r="E157" s="69"/>
      <c r="F157" s="69"/>
      <c r="G157" s="84">
        <f>G158+G184+G208+G247</f>
        <v>1227383.7</v>
      </c>
      <c r="H157" s="84">
        <f>H158+H184+H208+H247</f>
        <v>957131.8999999999</v>
      </c>
      <c r="I157" s="84">
        <f>I158+I184+I208+I247</f>
        <v>570664.0999999999</v>
      </c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s="20" customFormat="1" ht="16.5">
      <c r="A158" s="116" t="s">
        <v>152</v>
      </c>
      <c r="B158" s="75"/>
      <c r="C158" s="69" t="s">
        <v>42</v>
      </c>
      <c r="D158" s="69" t="s">
        <v>790</v>
      </c>
      <c r="E158" s="69"/>
      <c r="F158" s="69"/>
      <c r="G158" s="84">
        <f>G159+G165+G173</f>
        <v>54739.1</v>
      </c>
      <c r="H158" s="84">
        <f>H159+H165+H173</f>
        <v>3834.2</v>
      </c>
      <c r="I158" s="84">
        <f>I159+I165+I173</f>
        <v>3834.2</v>
      </c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ht="36" customHeight="1" hidden="1">
      <c r="A159" s="116" t="s">
        <v>626</v>
      </c>
      <c r="B159" s="95"/>
      <c r="C159" s="69" t="s">
        <v>801</v>
      </c>
      <c r="D159" s="69" t="s">
        <v>790</v>
      </c>
      <c r="E159" s="69" t="s">
        <v>118</v>
      </c>
      <c r="F159" s="69"/>
      <c r="G159" s="84">
        <f>G160+G162</f>
        <v>29000</v>
      </c>
      <c r="H159" s="84">
        <f>H160+H162</f>
        <v>0</v>
      </c>
      <c r="I159" s="84">
        <f>I160+I162</f>
        <v>0</v>
      </c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ht="66" hidden="1">
      <c r="A160" s="116" t="s">
        <v>108</v>
      </c>
      <c r="B160" s="75"/>
      <c r="C160" s="69" t="s">
        <v>400</v>
      </c>
      <c r="D160" s="69" t="s">
        <v>790</v>
      </c>
      <c r="E160" s="69" t="s">
        <v>539</v>
      </c>
      <c r="F160" s="69"/>
      <c r="G160" s="84">
        <f>G161</f>
        <v>0</v>
      </c>
      <c r="H160" s="84">
        <f>H161</f>
        <v>0</v>
      </c>
      <c r="I160" s="84">
        <f>I161</f>
        <v>0</v>
      </c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ht="16.5" hidden="1">
      <c r="A161" s="119" t="s">
        <v>542</v>
      </c>
      <c r="B161" s="79"/>
      <c r="C161" s="69" t="s">
        <v>400</v>
      </c>
      <c r="D161" s="69" t="s">
        <v>790</v>
      </c>
      <c r="E161" s="69" t="s">
        <v>539</v>
      </c>
      <c r="F161" s="69" t="s">
        <v>252</v>
      </c>
      <c r="G161" s="84">
        <f>'прил.16'!G195</f>
        <v>0</v>
      </c>
      <c r="H161" s="84">
        <f>'прил.16'!H195</f>
        <v>0</v>
      </c>
      <c r="I161" s="84">
        <f>'прил.16'!I195</f>
        <v>0</v>
      </c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ht="50.25" customHeight="1" hidden="1">
      <c r="A162" s="116" t="s">
        <v>627</v>
      </c>
      <c r="B162" s="95"/>
      <c r="C162" s="69" t="s">
        <v>801</v>
      </c>
      <c r="D162" s="69" t="s">
        <v>790</v>
      </c>
      <c r="E162" s="69" t="s">
        <v>261</v>
      </c>
      <c r="F162" s="69"/>
      <c r="G162" s="84">
        <f aca="true" t="shared" si="16" ref="G162:I163">G163</f>
        <v>29000</v>
      </c>
      <c r="H162" s="84">
        <f t="shared" si="16"/>
        <v>0</v>
      </c>
      <c r="I162" s="84">
        <f t="shared" si="16"/>
        <v>0</v>
      </c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ht="35.25" customHeight="1" hidden="1">
      <c r="A163" s="116" t="s">
        <v>226</v>
      </c>
      <c r="B163" s="75"/>
      <c r="C163" s="69" t="s">
        <v>801</v>
      </c>
      <c r="D163" s="69" t="s">
        <v>790</v>
      </c>
      <c r="E163" s="69" t="s">
        <v>120</v>
      </c>
      <c r="F163" s="69"/>
      <c r="G163" s="84">
        <f t="shared" si="16"/>
        <v>29000</v>
      </c>
      <c r="H163" s="84">
        <f t="shared" si="16"/>
        <v>0</v>
      </c>
      <c r="I163" s="84">
        <f t="shared" si="16"/>
        <v>0</v>
      </c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ht="16.5" hidden="1">
      <c r="A164" s="119" t="s">
        <v>628</v>
      </c>
      <c r="B164" s="79"/>
      <c r="C164" s="69" t="s">
        <v>801</v>
      </c>
      <c r="D164" s="69" t="s">
        <v>790</v>
      </c>
      <c r="E164" s="69" t="s">
        <v>120</v>
      </c>
      <c r="F164" s="69" t="s">
        <v>252</v>
      </c>
      <c r="G164" s="84">
        <f>'прил.16'!G198</f>
        <v>29000</v>
      </c>
      <c r="H164" s="84">
        <f>'прил.16'!H198</f>
        <v>0</v>
      </c>
      <c r="I164" s="84">
        <f>'прил.16'!I198</f>
        <v>0</v>
      </c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ht="16.5" hidden="1">
      <c r="A165" s="119" t="s">
        <v>110</v>
      </c>
      <c r="B165" s="79"/>
      <c r="C165" s="69" t="s">
        <v>42</v>
      </c>
      <c r="D165" s="69" t="s">
        <v>790</v>
      </c>
      <c r="E165" s="69" t="s">
        <v>392</v>
      </c>
      <c r="F165" s="69"/>
      <c r="G165" s="84">
        <f>G166+G170</f>
        <v>0</v>
      </c>
      <c r="H165" s="84">
        <f>H166+H170</f>
        <v>0</v>
      </c>
      <c r="I165" s="84">
        <f>I166+I170</f>
        <v>0</v>
      </c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ht="52.5" customHeight="1" hidden="1">
      <c r="A166" s="119" t="s">
        <v>57</v>
      </c>
      <c r="B166" s="89">
        <v>803</v>
      </c>
      <c r="C166" s="69" t="s">
        <v>42</v>
      </c>
      <c r="D166" s="69" t="s">
        <v>790</v>
      </c>
      <c r="E166" s="69" t="s">
        <v>54</v>
      </c>
      <c r="F166" s="69"/>
      <c r="G166" s="84">
        <f>G167</f>
        <v>0</v>
      </c>
      <c r="H166" s="84">
        <f>H167</f>
        <v>0</v>
      </c>
      <c r="I166" s="84">
        <f>I167</f>
        <v>0</v>
      </c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 ht="33" hidden="1">
      <c r="A167" s="118" t="s">
        <v>188</v>
      </c>
      <c r="B167" s="89">
        <v>803</v>
      </c>
      <c r="C167" s="69" t="s">
        <v>42</v>
      </c>
      <c r="D167" s="69" t="s">
        <v>790</v>
      </c>
      <c r="E167" s="69" t="s">
        <v>394</v>
      </c>
      <c r="F167" s="69"/>
      <c r="G167" s="84">
        <f>SUM(G168:G169)</f>
        <v>0</v>
      </c>
      <c r="H167" s="84">
        <f>SUM(H168:H169)</f>
        <v>0</v>
      </c>
      <c r="I167" s="84">
        <f>SUM(I168:I169)</f>
        <v>0</v>
      </c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ht="16.5" hidden="1">
      <c r="A168" s="118" t="s">
        <v>562</v>
      </c>
      <c r="B168" s="89">
        <v>841</v>
      </c>
      <c r="C168" s="69" t="s">
        <v>42</v>
      </c>
      <c r="D168" s="69" t="s">
        <v>790</v>
      </c>
      <c r="E168" s="69" t="s">
        <v>394</v>
      </c>
      <c r="F168" s="69" t="s">
        <v>59</v>
      </c>
      <c r="G168" s="84">
        <f>'прил.16'!G929</f>
        <v>0</v>
      </c>
      <c r="H168" s="84">
        <f>'прил.16'!H929</f>
        <v>0</v>
      </c>
      <c r="I168" s="84">
        <f>'прил.16'!I929</f>
        <v>0</v>
      </c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ht="15.75" customHeight="1" hidden="1">
      <c r="A169" s="118" t="s">
        <v>60</v>
      </c>
      <c r="B169" s="89">
        <v>841</v>
      </c>
      <c r="C169" s="69" t="s">
        <v>42</v>
      </c>
      <c r="D169" s="69" t="s">
        <v>790</v>
      </c>
      <c r="E169" s="69" t="s">
        <v>394</v>
      </c>
      <c r="F169" s="69" t="s">
        <v>61</v>
      </c>
      <c r="G169" s="84">
        <f>'прил.16'!G930</f>
        <v>0</v>
      </c>
      <c r="H169" s="84">
        <f>'прил.16'!H930</f>
        <v>0</v>
      </c>
      <c r="I169" s="84">
        <f>'прил.16'!I930</f>
        <v>0</v>
      </c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ht="15.75" customHeight="1" hidden="1">
      <c r="A170" s="118" t="s">
        <v>110</v>
      </c>
      <c r="B170" s="89">
        <v>841</v>
      </c>
      <c r="C170" s="69" t="s">
        <v>42</v>
      </c>
      <c r="D170" s="69" t="s">
        <v>790</v>
      </c>
      <c r="E170" s="69" t="s">
        <v>800</v>
      </c>
      <c r="F170" s="69"/>
      <c r="G170" s="84">
        <f aca="true" t="shared" si="17" ref="G170:I171">G171</f>
        <v>0</v>
      </c>
      <c r="H170" s="84">
        <f t="shared" si="17"/>
        <v>0</v>
      </c>
      <c r="I170" s="84">
        <f t="shared" si="17"/>
        <v>0</v>
      </c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ht="15.75" customHeight="1" hidden="1">
      <c r="A171" s="118" t="s">
        <v>752</v>
      </c>
      <c r="B171" s="89"/>
      <c r="C171" s="69" t="s">
        <v>42</v>
      </c>
      <c r="D171" s="69" t="s">
        <v>790</v>
      </c>
      <c r="E171" s="69" t="s">
        <v>803</v>
      </c>
      <c r="F171" s="69"/>
      <c r="G171" s="84">
        <f t="shared" si="17"/>
        <v>0</v>
      </c>
      <c r="H171" s="84">
        <f t="shared" si="17"/>
        <v>0</v>
      </c>
      <c r="I171" s="84">
        <f t="shared" si="17"/>
        <v>0</v>
      </c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ht="15.75" customHeight="1" hidden="1">
      <c r="A172" s="118" t="s">
        <v>263</v>
      </c>
      <c r="B172" s="89"/>
      <c r="C172" s="69" t="s">
        <v>42</v>
      </c>
      <c r="D172" s="69" t="s">
        <v>790</v>
      </c>
      <c r="E172" s="69" t="s">
        <v>803</v>
      </c>
      <c r="F172" s="69" t="s">
        <v>827</v>
      </c>
      <c r="G172" s="84">
        <f>'прил.16'!G937</f>
        <v>0</v>
      </c>
      <c r="H172" s="84">
        <f>'прил.16'!H937</f>
        <v>0</v>
      </c>
      <c r="I172" s="84">
        <f>'прил.16'!I937</f>
        <v>0</v>
      </c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ht="16.5">
      <c r="A173" s="116" t="s">
        <v>629</v>
      </c>
      <c r="B173" s="75"/>
      <c r="C173" s="69" t="s">
        <v>42</v>
      </c>
      <c r="D173" s="69" t="s">
        <v>790</v>
      </c>
      <c r="E173" s="69" t="s">
        <v>396</v>
      </c>
      <c r="F173" s="69"/>
      <c r="G173" s="84">
        <f>G174+G177+G179+G182</f>
        <v>25739.1</v>
      </c>
      <c r="H173" s="84">
        <f>H174+H177+H179+H182</f>
        <v>3834.2</v>
      </c>
      <c r="I173" s="84">
        <f>I174+I177+I179+I182</f>
        <v>3834.2</v>
      </c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 ht="16.5" hidden="1">
      <c r="A174" s="116" t="s">
        <v>109</v>
      </c>
      <c r="B174" s="75"/>
      <c r="C174" s="69" t="s">
        <v>42</v>
      </c>
      <c r="D174" s="69" t="s">
        <v>790</v>
      </c>
      <c r="E174" s="69" t="s">
        <v>395</v>
      </c>
      <c r="F174" s="69"/>
      <c r="G174" s="84">
        <f>SUM(G175:G176)</f>
        <v>11904.9</v>
      </c>
      <c r="H174" s="84">
        <f>SUM(H175:H176)</f>
        <v>0</v>
      </c>
      <c r="I174" s="84">
        <f>SUM(I175:I176)</f>
        <v>0</v>
      </c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 ht="16.5" hidden="1">
      <c r="A175" s="119" t="s">
        <v>628</v>
      </c>
      <c r="B175" s="75"/>
      <c r="C175" s="69" t="s">
        <v>42</v>
      </c>
      <c r="D175" s="69" t="s">
        <v>790</v>
      </c>
      <c r="E175" s="69" t="s">
        <v>395</v>
      </c>
      <c r="F175" s="69" t="s">
        <v>252</v>
      </c>
      <c r="G175" s="84">
        <f>'прил.16'!G201</f>
        <v>4629.9</v>
      </c>
      <c r="H175" s="84">
        <f>'прил.16'!H201</f>
        <v>0</v>
      </c>
      <c r="I175" s="84">
        <f>'прил.16'!I201</f>
        <v>0</v>
      </c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ht="16.5" hidden="1">
      <c r="A176" s="118" t="s">
        <v>346</v>
      </c>
      <c r="B176" s="75"/>
      <c r="C176" s="69" t="s">
        <v>42</v>
      </c>
      <c r="D176" s="69" t="s">
        <v>790</v>
      </c>
      <c r="E176" s="69" t="s">
        <v>395</v>
      </c>
      <c r="F176" s="69" t="s">
        <v>197</v>
      </c>
      <c r="G176" s="84">
        <f>'прил.16'!G202+'прил.16'!G876</f>
        <v>7275</v>
      </c>
      <c r="H176" s="84">
        <f>'прил.16'!H202+'прил.16'!H876</f>
        <v>0</v>
      </c>
      <c r="I176" s="84">
        <f>'прил.16'!I202+'прил.16'!I876</f>
        <v>0</v>
      </c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ht="33" customHeight="1">
      <c r="A177" s="116" t="s">
        <v>449</v>
      </c>
      <c r="B177" s="89">
        <v>803</v>
      </c>
      <c r="C177" s="69" t="s">
        <v>42</v>
      </c>
      <c r="D177" s="69" t="s">
        <v>790</v>
      </c>
      <c r="E177" s="69" t="s">
        <v>397</v>
      </c>
      <c r="F177" s="69"/>
      <c r="G177" s="84">
        <f>G178</f>
        <v>3834.2</v>
      </c>
      <c r="H177" s="84">
        <f>H178</f>
        <v>3834.2</v>
      </c>
      <c r="I177" s="84">
        <f>I178</f>
        <v>3834.2</v>
      </c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ht="16.5">
      <c r="A178" s="119" t="s">
        <v>628</v>
      </c>
      <c r="B178" s="89">
        <v>803</v>
      </c>
      <c r="C178" s="69" t="s">
        <v>42</v>
      </c>
      <c r="D178" s="69" t="s">
        <v>790</v>
      </c>
      <c r="E178" s="69" t="s">
        <v>397</v>
      </c>
      <c r="F178" s="69" t="s">
        <v>252</v>
      </c>
      <c r="G178" s="84">
        <f>'прил.16'!G204</f>
        <v>3834.2</v>
      </c>
      <c r="H178" s="84">
        <f>'прил.16'!H204</f>
        <v>3834.2</v>
      </c>
      <c r="I178" s="84">
        <f>'прил.16'!I204</f>
        <v>3834.2</v>
      </c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 ht="35.25" customHeight="1" hidden="1">
      <c r="A179" s="116" t="s">
        <v>766</v>
      </c>
      <c r="B179" s="89">
        <v>803</v>
      </c>
      <c r="C179" s="69" t="s">
        <v>42</v>
      </c>
      <c r="D179" s="69" t="s">
        <v>790</v>
      </c>
      <c r="E179" s="69" t="s">
        <v>398</v>
      </c>
      <c r="F179" s="69"/>
      <c r="G179" s="84">
        <f>SUM(G180:G181)</f>
        <v>0</v>
      </c>
      <c r="H179" s="84">
        <f>SUM(H180:H181)</f>
        <v>0</v>
      </c>
      <c r="I179" s="84">
        <f>SUM(I180:I181)</f>
        <v>0</v>
      </c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ht="19.5" customHeight="1" hidden="1">
      <c r="A180" s="119" t="s">
        <v>542</v>
      </c>
      <c r="B180" s="89"/>
      <c r="C180" s="69" t="s">
        <v>42</v>
      </c>
      <c r="D180" s="69" t="s">
        <v>790</v>
      </c>
      <c r="E180" s="69" t="s">
        <v>398</v>
      </c>
      <c r="F180" s="69" t="s">
        <v>252</v>
      </c>
      <c r="G180" s="84">
        <f>'прил.16'!G206</f>
        <v>0</v>
      </c>
      <c r="H180" s="84">
        <f>'прил.16'!H206</f>
        <v>0</v>
      </c>
      <c r="I180" s="84">
        <f>'прил.16'!I206</f>
        <v>0</v>
      </c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 ht="15.75" customHeight="1" hidden="1">
      <c r="A181" s="119" t="s">
        <v>767</v>
      </c>
      <c r="B181" s="89">
        <v>803</v>
      </c>
      <c r="C181" s="69" t="s">
        <v>42</v>
      </c>
      <c r="D181" s="69" t="s">
        <v>790</v>
      </c>
      <c r="E181" s="69" t="s">
        <v>398</v>
      </c>
      <c r="F181" s="69" t="s">
        <v>238</v>
      </c>
      <c r="G181" s="84">
        <f>'прил.16'!G207</f>
        <v>0</v>
      </c>
      <c r="H181" s="84">
        <f>'прил.16'!H207</f>
        <v>0</v>
      </c>
      <c r="I181" s="84">
        <f>'прил.16'!I207</f>
        <v>0</v>
      </c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ht="52.5" customHeight="1" hidden="1">
      <c r="A182" s="116" t="s">
        <v>421</v>
      </c>
      <c r="B182" s="89"/>
      <c r="C182" s="69" t="s">
        <v>42</v>
      </c>
      <c r="D182" s="69" t="s">
        <v>790</v>
      </c>
      <c r="E182" s="69" t="s">
        <v>422</v>
      </c>
      <c r="F182" s="69"/>
      <c r="G182" s="84">
        <f>G183</f>
        <v>10000</v>
      </c>
      <c r="H182" s="84">
        <f>H183</f>
        <v>0</v>
      </c>
      <c r="I182" s="84">
        <f>I183</f>
        <v>0</v>
      </c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ht="21.75" customHeight="1" hidden="1">
      <c r="A183" s="119" t="s">
        <v>628</v>
      </c>
      <c r="B183" s="89"/>
      <c r="C183" s="69" t="s">
        <v>42</v>
      </c>
      <c r="D183" s="69" t="s">
        <v>790</v>
      </c>
      <c r="E183" s="69" t="s">
        <v>422</v>
      </c>
      <c r="F183" s="69" t="s">
        <v>252</v>
      </c>
      <c r="G183" s="84">
        <f>'прил.16'!G209</f>
        <v>10000</v>
      </c>
      <c r="H183" s="84"/>
      <c r="I183" s="84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ht="16.5">
      <c r="A184" s="131" t="s">
        <v>630</v>
      </c>
      <c r="B184" s="96"/>
      <c r="C184" s="87" t="s">
        <v>42</v>
      </c>
      <c r="D184" s="87" t="s">
        <v>791</v>
      </c>
      <c r="E184" s="87"/>
      <c r="F184" s="87"/>
      <c r="G184" s="84">
        <f>G185+G202+G205</f>
        <v>33500</v>
      </c>
      <c r="H184" s="84">
        <f>H185+H202+H205</f>
        <v>2300</v>
      </c>
      <c r="I184" s="84">
        <f>I185+I202+I205</f>
        <v>4320</v>
      </c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ht="33" hidden="1">
      <c r="A185" s="118" t="s">
        <v>621</v>
      </c>
      <c r="B185" s="89">
        <v>841</v>
      </c>
      <c r="C185" s="69" t="s">
        <v>42</v>
      </c>
      <c r="D185" s="69" t="s">
        <v>791</v>
      </c>
      <c r="E185" s="69" t="s">
        <v>392</v>
      </c>
      <c r="F185" s="69"/>
      <c r="G185" s="84">
        <f>G186+G189</f>
        <v>30000</v>
      </c>
      <c r="H185" s="84">
        <f>H186+H189</f>
        <v>0</v>
      </c>
      <c r="I185" s="84">
        <f>I186+I189</f>
        <v>0</v>
      </c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ht="51.75" customHeight="1" hidden="1">
      <c r="A186" s="118" t="s">
        <v>57</v>
      </c>
      <c r="B186" s="89">
        <v>841</v>
      </c>
      <c r="C186" s="69" t="s">
        <v>42</v>
      </c>
      <c r="D186" s="69" t="s">
        <v>791</v>
      </c>
      <c r="E186" s="69" t="s">
        <v>54</v>
      </c>
      <c r="F186" s="69"/>
      <c r="G186" s="84">
        <f aca="true" t="shared" si="18" ref="G186:I187">G187</f>
        <v>0</v>
      </c>
      <c r="H186" s="84">
        <f t="shared" si="18"/>
        <v>0</v>
      </c>
      <c r="I186" s="84">
        <f t="shared" si="18"/>
        <v>0</v>
      </c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187" spans="1:23" ht="33" hidden="1">
      <c r="A187" s="118" t="s">
        <v>393</v>
      </c>
      <c r="B187" s="89">
        <v>841</v>
      </c>
      <c r="C187" s="69" t="s">
        <v>42</v>
      </c>
      <c r="D187" s="69" t="s">
        <v>791</v>
      </c>
      <c r="E187" s="69" t="s">
        <v>394</v>
      </c>
      <c r="F187" s="69"/>
      <c r="G187" s="84">
        <f t="shared" si="18"/>
        <v>0</v>
      </c>
      <c r="H187" s="84">
        <f t="shared" si="18"/>
        <v>0</v>
      </c>
      <c r="I187" s="84">
        <f t="shared" si="18"/>
        <v>0</v>
      </c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</row>
    <row r="188" spans="1:23" ht="33" hidden="1">
      <c r="A188" s="119" t="s">
        <v>574</v>
      </c>
      <c r="B188" s="89">
        <v>841</v>
      </c>
      <c r="C188" s="69" t="s">
        <v>42</v>
      </c>
      <c r="D188" s="69" t="s">
        <v>791</v>
      </c>
      <c r="E188" s="69" t="s">
        <v>222</v>
      </c>
      <c r="F188" s="69" t="s">
        <v>63</v>
      </c>
      <c r="G188" s="84">
        <f>'прил.16'!G942</f>
        <v>0</v>
      </c>
      <c r="H188" s="84">
        <f>'прил.16'!H942</f>
        <v>0</v>
      </c>
      <c r="I188" s="84">
        <f>'прил.16'!I942</f>
        <v>0</v>
      </c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</row>
    <row r="189" spans="1:23" ht="16.5" hidden="1">
      <c r="A189" s="118" t="s">
        <v>752</v>
      </c>
      <c r="B189" s="89">
        <v>841</v>
      </c>
      <c r="C189" s="69" t="s">
        <v>42</v>
      </c>
      <c r="D189" s="69" t="s">
        <v>791</v>
      </c>
      <c r="E189" s="69" t="s">
        <v>800</v>
      </c>
      <c r="F189" s="69"/>
      <c r="G189" s="84">
        <f>G190+G192+G194+G196+G198+G200</f>
        <v>30000</v>
      </c>
      <c r="H189" s="84">
        <f>H190+H192+H194+H196+H198+H200</f>
        <v>0</v>
      </c>
      <c r="I189" s="84">
        <f>I190+I192+I194+I196+I198+I200</f>
        <v>0</v>
      </c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</row>
    <row r="190" spans="1:23" ht="16.5" hidden="1">
      <c r="A190" s="118" t="s">
        <v>631</v>
      </c>
      <c r="B190" s="89">
        <v>841</v>
      </c>
      <c r="C190" s="69" t="s">
        <v>42</v>
      </c>
      <c r="D190" s="69" t="s">
        <v>791</v>
      </c>
      <c r="E190" s="69" t="s">
        <v>803</v>
      </c>
      <c r="F190" s="69"/>
      <c r="G190" s="84">
        <f>G191</f>
        <v>10000</v>
      </c>
      <c r="H190" s="84">
        <f>H191</f>
        <v>0</v>
      </c>
      <c r="I190" s="84">
        <f>I191</f>
        <v>0</v>
      </c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</row>
    <row r="191" spans="1:23" ht="16.5" hidden="1">
      <c r="A191" s="119" t="s">
        <v>189</v>
      </c>
      <c r="B191" s="89">
        <v>841</v>
      </c>
      <c r="C191" s="69" t="s">
        <v>42</v>
      </c>
      <c r="D191" s="69" t="s">
        <v>791</v>
      </c>
      <c r="E191" s="69" t="s">
        <v>803</v>
      </c>
      <c r="F191" s="69" t="s">
        <v>827</v>
      </c>
      <c r="G191" s="84">
        <f>'прил.16'!G945</f>
        <v>10000</v>
      </c>
      <c r="H191" s="84">
        <f>'прил.16'!H945</f>
        <v>0</v>
      </c>
      <c r="I191" s="84">
        <f>'прил.16'!I945</f>
        <v>0</v>
      </c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</row>
    <row r="192" spans="1:23" ht="18" customHeight="1" hidden="1">
      <c r="A192" s="119" t="s">
        <v>754</v>
      </c>
      <c r="B192" s="89">
        <v>841</v>
      </c>
      <c r="C192" s="69" t="s">
        <v>42</v>
      </c>
      <c r="D192" s="69" t="s">
        <v>791</v>
      </c>
      <c r="E192" s="69" t="s">
        <v>804</v>
      </c>
      <c r="F192" s="69"/>
      <c r="G192" s="84">
        <f>G193</f>
        <v>0</v>
      </c>
      <c r="H192" s="84">
        <f>H193</f>
        <v>0</v>
      </c>
      <c r="I192" s="84">
        <f>I193</f>
        <v>0</v>
      </c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</row>
    <row r="193" spans="1:23" ht="16.5" hidden="1">
      <c r="A193" s="119" t="s">
        <v>189</v>
      </c>
      <c r="B193" s="89">
        <v>841</v>
      </c>
      <c r="C193" s="69" t="s">
        <v>42</v>
      </c>
      <c r="D193" s="69" t="s">
        <v>791</v>
      </c>
      <c r="E193" s="69" t="s">
        <v>804</v>
      </c>
      <c r="F193" s="69" t="s">
        <v>827</v>
      </c>
      <c r="G193" s="84">
        <f>'прил.16'!G949</f>
        <v>0</v>
      </c>
      <c r="H193" s="84">
        <f>'прил.16'!H949</f>
        <v>0</v>
      </c>
      <c r="I193" s="84">
        <f>'прил.16'!I949</f>
        <v>0</v>
      </c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</row>
    <row r="194" spans="1:23" ht="33" hidden="1">
      <c r="A194" s="119" t="s">
        <v>755</v>
      </c>
      <c r="B194" s="89">
        <v>841</v>
      </c>
      <c r="C194" s="69" t="s">
        <v>42</v>
      </c>
      <c r="D194" s="69" t="s">
        <v>791</v>
      </c>
      <c r="E194" s="69" t="s">
        <v>245</v>
      </c>
      <c r="F194" s="69"/>
      <c r="G194" s="88">
        <f>G195</f>
        <v>0</v>
      </c>
      <c r="H194" s="88">
        <f>H195</f>
        <v>0</v>
      </c>
      <c r="I194" s="88">
        <f>I195</f>
        <v>0</v>
      </c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</row>
    <row r="195" spans="1:23" ht="16.5" hidden="1">
      <c r="A195" s="119" t="s">
        <v>189</v>
      </c>
      <c r="B195" s="89">
        <v>841</v>
      </c>
      <c r="C195" s="69" t="s">
        <v>42</v>
      </c>
      <c r="D195" s="69" t="s">
        <v>791</v>
      </c>
      <c r="E195" s="69" t="s">
        <v>245</v>
      </c>
      <c r="F195" s="69" t="s">
        <v>827</v>
      </c>
      <c r="G195" s="88">
        <f>'прил.16'!G951</f>
        <v>0</v>
      </c>
      <c r="H195" s="88">
        <f>'прил.16'!H951</f>
        <v>0</v>
      </c>
      <c r="I195" s="88">
        <f>'прил.16'!I951</f>
        <v>0</v>
      </c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</row>
    <row r="196" spans="1:23" ht="16.5" hidden="1">
      <c r="A196" s="119" t="s">
        <v>266</v>
      </c>
      <c r="B196" s="89">
        <v>841</v>
      </c>
      <c r="C196" s="69" t="s">
        <v>42</v>
      </c>
      <c r="D196" s="69" t="s">
        <v>791</v>
      </c>
      <c r="E196" s="69" t="s">
        <v>246</v>
      </c>
      <c r="F196" s="69"/>
      <c r="G196" s="88">
        <f>G197</f>
        <v>20000</v>
      </c>
      <c r="H196" s="88">
        <f>H197</f>
        <v>0</v>
      </c>
      <c r="I196" s="88">
        <f>I197</f>
        <v>0</v>
      </c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</row>
    <row r="197" spans="1:23" ht="16.5" hidden="1">
      <c r="A197" s="119" t="s">
        <v>189</v>
      </c>
      <c r="B197" s="89">
        <v>841</v>
      </c>
      <c r="C197" s="69" t="s">
        <v>42</v>
      </c>
      <c r="D197" s="69" t="s">
        <v>791</v>
      </c>
      <c r="E197" s="69" t="s">
        <v>246</v>
      </c>
      <c r="F197" s="69" t="s">
        <v>827</v>
      </c>
      <c r="G197" s="88">
        <f>'прил.16'!G953</f>
        <v>20000</v>
      </c>
      <c r="H197" s="88">
        <f>'прил.16'!H953</f>
        <v>0</v>
      </c>
      <c r="I197" s="88">
        <f>'прил.16'!I953</f>
        <v>0</v>
      </c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</row>
    <row r="198" spans="1:23" s="19" customFormat="1" ht="33" hidden="1">
      <c r="A198" s="119" t="s">
        <v>290</v>
      </c>
      <c r="B198" s="89"/>
      <c r="C198" s="69" t="s">
        <v>42</v>
      </c>
      <c r="D198" s="69" t="s">
        <v>791</v>
      </c>
      <c r="E198" s="69" t="s">
        <v>291</v>
      </c>
      <c r="F198" s="69"/>
      <c r="G198" s="88">
        <f>G199</f>
        <v>0</v>
      </c>
      <c r="H198" s="88">
        <f>H199</f>
        <v>0</v>
      </c>
      <c r="I198" s="88">
        <f>I199</f>
        <v>0</v>
      </c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</row>
    <row r="199" spans="1:23" s="20" customFormat="1" ht="16.5" hidden="1">
      <c r="A199" s="119" t="s">
        <v>189</v>
      </c>
      <c r="B199" s="89"/>
      <c r="C199" s="69" t="s">
        <v>42</v>
      </c>
      <c r="D199" s="69" t="s">
        <v>791</v>
      </c>
      <c r="E199" s="69" t="s">
        <v>291</v>
      </c>
      <c r="F199" s="69" t="s">
        <v>827</v>
      </c>
      <c r="G199" s="88">
        <f>'прил.16'!G955</f>
        <v>0</v>
      </c>
      <c r="H199" s="88">
        <f>'прил.16'!H955</f>
        <v>0</v>
      </c>
      <c r="I199" s="88">
        <f>'прил.16'!I955</f>
        <v>0</v>
      </c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</row>
    <row r="200" spans="1:9" s="11" customFormat="1" ht="16.5" hidden="1">
      <c r="A200" s="119" t="s">
        <v>338</v>
      </c>
      <c r="B200" s="89"/>
      <c r="C200" s="69" t="s">
        <v>42</v>
      </c>
      <c r="D200" s="69" t="s">
        <v>791</v>
      </c>
      <c r="E200" s="69" t="s">
        <v>270</v>
      </c>
      <c r="F200" s="69"/>
      <c r="G200" s="88">
        <f>G201</f>
        <v>0</v>
      </c>
      <c r="H200" s="88">
        <f>H201</f>
        <v>0</v>
      </c>
      <c r="I200" s="88">
        <f>I201</f>
        <v>0</v>
      </c>
    </row>
    <row r="201" spans="1:9" s="11" customFormat="1" ht="16.5" hidden="1">
      <c r="A201" s="119" t="s">
        <v>189</v>
      </c>
      <c r="B201" s="89"/>
      <c r="C201" s="69" t="s">
        <v>42</v>
      </c>
      <c r="D201" s="69" t="s">
        <v>791</v>
      </c>
      <c r="E201" s="69" t="s">
        <v>270</v>
      </c>
      <c r="F201" s="69" t="s">
        <v>827</v>
      </c>
      <c r="G201" s="88"/>
      <c r="H201" s="88"/>
      <c r="I201" s="88"/>
    </row>
    <row r="202" spans="1:9" s="11" customFormat="1" ht="16.5" hidden="1">
      <c r="A202" s="116" t="s">
        <v>632</v>
      </c>
      <c r="B202" s="89"/>
      <c r="C202" s="69" t="s">
        <v>42</v>
      </c>
      <c r="D202" s="69" t="s">
        <v>791</v>
      </c>
      <c r="E202" s="69" t="s">
        <v>201</v>
      </c>
      <c r="F202" s="69"/>
      <c r="G202" s="88">
        <f aca="true" t="shared" si="19" ref="G202:I203">G203</f>
        <v>3500</v>
      </c>
      <c r="H202" s="88">
        <f t="shared" si="19"/>
        <v>0</v>
      </c>
      <c r="I202" s="88">
        <f t="shared" si="19"/>
        <v>0</v>
      </c>
    </row>
    <row r="203" spans="1:9" s="11" customFormat="1" ht="33" hidden="1">
      <c r="A203" s="116" t="s">
        <v>81</v>
      </c>
      <c r="B203" s="89"/>
      <c r="C203" s="69" t="s">
        <v>42</v>
      </c>
      <c r="D203" s="69" t="s">
        <v>791</v>
      </c>
      <c r="E203" s="69" t="s">
        <v>202</v>
      </c>
      <c r="F203" s="69"/>
      <c r="G203" s="88">
        <f t="shared" si="19"/>
        <v>3500</v>
      </c>
      <c r="H203" s="88">
        <f t="shared" si="19"/>
        <v>0</v>
      </c>
      <c r="I203" s="88">
        <f t="shared" si="19"/>
        <v>0</v>
      </c>
    </row>
    <row r="204" spans="1:9" s="11" customFormat="1" ht="16.5" hidden="1">
      <c r="A204" s="119" t="s">
        <v>628</v>
      </c>
      <c r="B204" s="89"/>
      <c r="C204" s="69" t="s">
        <v>42</v>
      </c>
      <c r="D204" s="69" t="s">
        <v>791</v>
      </c>
      <c r="E204" s="69" t="s">
        <v>202</v>
      </c>
      <c r="F204" s="69" t="s">
        <v>252</v>
      </c>
      <c r="G204" s="88">
        <f>'прил.16'!G213</f>
        <v>3500</v>
      </c>
      <c r="H204" s="88"/>
      <c r="I204" s="88"/>
    </row>
    <row r="205" spans="1:9" s="11" customFormat="1" ht="16.5">
      <c r="A205" s="120" t="s">
        <v>277</v>
      </c>
      <c r="B205" s="89"/>
      <c r="C205" s="69" t="s">
        <v>42</v>
      </c>
      <c r="D205" s="69" t="s">
        <v>791</v>
      </c>
      <c r="E205" s="69" t="s">
        <v>381</v>
      </c>
      <c r="F205" s="69"/>
      <c r="G205" s="88">
        <f aca="true" t="shared" si="20" ref="G205:I206">G206</f>
        <v>0</v>
      </c>
      <c r="H205" s="88">
        <f t="shared" si="20"/>
        <v>2300</v>
      </c>
      <c r="I205" s="88">
        <f t="shared" si="20"/>
        <v>4320</v>
      </c>
    </row>
    <row r="206" spans="1:9" s="11" customFormat="1" ht="51.75" customHeight="1">
      <c r="A206" s="119" t="s">
        <v>677</v>
      </c>
      <c r="B206" s="89"/>
      <c r="C206" s="69" t="s">
        <v>42</v>
      </c>
      <c r="D206" s="69" t="s">
        <v>791</v>
      </c>
      <c r="E206" s="69" t="s">
        <v>431</v>
      </c>
      <c r="F206" s="69"/>
      <c r="G206" s="88">
        <f t="shared" si="20"/>
        <v>0</v>
      </c>
      <c r="H206" s="88">
        <f t="shared" si="20"/>
        <v>2300</v>
      </c>
      <c r="I206" s="88">
        <f t="shared" si="20"/>
        <v>4320</v>
      </c>
    </row>
    <row r="207" spans="1:9" s="11" customFormat="1" ht="16.5">
      <c r="A207" s="118" t="s">
        <v>346</v>
      </c>
      <c r="B207" s="89"/>
      <c r="C207" s="69" t="s">
        <v>42</v>
      </c>
      <c r="D207" s="69" t="s">
        <v>791</v>
      </c>
      <c r="E207" s="69" t="s">
        <v>431</v>
      </c>
      <c r="F207" s="69" t="s">
        <v>197</v>
      </c>
      <c r="G207" s="88">
        <f>'прил.16'!G216</f>
        <v>0</v>
      </c>
      <c r="H207" s="88">
        <f>'прил.16'!H216</f>
        <v>2300</v>
      </c>
      <c r="I207" s="88">
        <f>'прил.16'!I216</f>
        <v>4320</v>
      </c>
    </row>
    <row r="208" spans="1:23" ht="16.5">
      <c r="A208" s="132" t="s">
        <v>633</v>
      </c>
      <c r="B208" s="97"/>
      <c r="C208" s="69" t="s">
        <v>42</v>
      </c>
      <c r="D208" s="69" t="s">
        <v>792</v>
      </c>
      <c r="E208" s="69"/>
      <c r="F208" s="69"/>
      <c r="G208" s="84">
        <f>G209+G229+G232</f>
        <v>1123171.9</v>
      </c>
      <c r="H208" s="84">
        <f>H209+H229+H232</f>
        <v>935014.2</v>
      </c>
      <c r="I208" s="84">
        <f>I209+I229+I232</f>
        <v>546516.0999999999</v>
      </c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</row>
    <row r="209" spans="1:23" ht="33" hidden="1">
      <c r="A209" s="118" t="s">
        <v>621</v>
      </c>
      <c r="B209" s="89">
        <v>841</v>
      </c>
      <c r="C209" s="69" t="s">
        <v>42</v>
      </c>
      <c r="D209" s="69" t="s">
        <v>792</v>
      </c>
      <c r="E209" s="69" t="s">
        <v>392</v>
      </c>
      <c r="F209" s="69"/>
      <c r="G209" s="84">
        <f>G210+G216</f>
        <v>410638</v>
      </c>
      <c r="H209" s="84">
        <f>H210+H216</f>
        <v>0</v>
      </c>
      <c r="I209" s="84">
        <f>I210+I216</f>
        <v>0</v>
      </c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</row>
    <row r="210" spans="1:23" ht="53.25" customHeight="1" hidden="1">
      <c r="A210" s="118" t="s">
        <v>57</v>
      </c>
      <c r="B210" s="89">
        <v>841</v>
      </c>
      <c r="C210" s="69" t="s">
        <v>42</v>
      </c>
      <c r="D210" s="69" t="s">
        <v>792</v>
      </c>
      <c r="E210" s="69" t="s">
        <v>54</v>
      </c>
      <c r="F210" s="69"/>
      <c r="G210" s="84">
        <f>G211</f>
        <v>0</v>
      </c>
      <c r="H210" s="84">
        <f>H211</f>
        <v>0</v>
      </c>
      <c r="I210" s="84">
        <f>I211</f>
        <v>0</v>
      </c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</row>
    <row r="211" spans="1:23" ht="33" hidden="1">
      <c r="A211" s="118" t="s">
        <v>393</v>
      </c>
      <c r="B211" s="89">
        <v>841</v>
      </c>
      <c r="C211" s="69" t="s">
        <v>42</v>
      </c>
      <c r="D211" s="69" t="s">
        <v>792</v>
      </c>
      <c r="E211" s="69" t="s">
        <v>394</v>
      </c>
      <c r="F211" s="69"/>
      <c r="G211" s="84">
        <f>SUM(G212:G215)</f>
        <v>0</v>
      </c>
      <c r="H211" s="84">
        <f>SUM(H212:H215)</f>
        <v>0</v>
      </c>
      <c r="I211" s="84">
        <f>SUM(I212:I215)</f>
        <v>0</v>
      </c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</row>
    <row r="212" spans="1:23" ht="33" hidden="1">
      <c r="A212" s="118" t="s">
        <v>761</v>
      </c>
      <c r="B212" s="89">
        <v>841</v>
      </c>
      <c r="C212" s="69" t="s">
        <v>42</v>
      </c>
      <c r="D212" s="69" t="s">
        <v>792</v>
      </c>
      <c r="E212" s="69" t="s">
        <v>394</v>
      </c>
      <c r="F212" s="69" t="s">
        <v>64</v>
      </c>
      <c r="G212" s="94">
        <f>'прил.16'!G960</f>
        <v>0</v>
      </c>
      <c r="H212" s="94">
        <f>'прил.16'!H960</f>
        <v>0</v>
      </c>
      <c r="I212" s="94">
        <f>'прил.16'!I960</f>
        <v>0</v>
      </c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</row>
    <row r="213" spans="1:23" ht="33" hidden="1">
      <c r="A213" s="118" t="s">
        <v>563</v>
      </c>
      <c r="B213" s="89">
        <v>841</v>
      </c>
      <c r="C213" s="69" t="s">
        <v>42</v>
      </c>
      <c r="D213" s="69" t="s">
        <v>792</v>
      </c>
      <c r="E213" s="69" t="s">
        <v>394</v>
      </c>
      <c r="F213" s="69" t="s">
        <v>65</v>
      </c>
      <c r="G213" s="94">
        <f>'прил.16'!G961</f>
        <v>0</v>
      </c>
      <c r="H213" s="94">
        <f>'прил.16'!H961</f>
        <v>0</v>
      </c>
      <c r="I213" s="94">
        <f>'прил.16'!I961</f>
        <v>0</v>
      </c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</row>
    <row r="214" spans="1:23" ht="33" hidden="1">
      <c r="A214" s="118" t="s">
        <v>762</v>
      </c>
      <c r="B214" s="89">
        <v>841</v>
      </c>
      <c r="C214" s="69" t="s">
        <v>42</v>
      </c>
      <c r="D214" s="69" t="s">
        <v>792</v>
      </c>
      <c r="E214" s="69" t="s">
        <v>394</v>
      </c>
      <c r="F214" s="69" t="s">
        <v>66</v>
      </c>
      <c r="G214" s="94">
        <f>'прил.16'!G962</f>
        <v>0</v>
      </c>
      <c r="H214" s="94">
        <f>'прил.16'!H962</f>
        <v>0</v>
      </c>
      <c r="I214" s="94">
        <f>'прил.16'!I962</f>
        <v>0</v>
      </c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</row>
    <row r="215" spans="1:23" ht="32.25" customHeight="1" hidden="1">
      <c r="A215" s="118" t="s">
        <v>763</v>
      </c>
      <c r="B215" s="89">
        <v>841</v>
      </c>
      <c r="C215" s="69" t="s">
        <v>42</v>
      </c>
      <c r="D215" s="69" t="s">
        <v>792</v>
      </c>
      <c r="E215" s="69" t="s">
        <v>394</v>
      </c>
      <c r="F215" s="69" t="s">
        <v>67</v>
      </c>
      <c r="G215" s="94">
        <f>'прил.16'!G963</f>
        <v>0</v>
      </c>
      <c r="H215" s="94">
        <f>'прил.16'!H963</f>
        <v>0</v>
      </c>
      <c r="I215" s="94">
        <f>'прил.16'!I963</f>
        <v>0</v>
      </c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</row>
    <row r="216" spans="1:23" s="24" customFormat="1" ht="16.5" hidden="1">
      <c r="A216" s="118" t="s">
        <v>752</v>
      </c>
      <c r="B216" s="89">
        <v>841</v>
      </c>
      <c r="C216" s="69" t="s">
        <v>42</v>
      </c>
      <c r="D216" s="69" t="s">
        <v>792</v>
      </c>
      <c r="E216" s="69" t="s">
        <v>800</v>
      </c>
      <c r="F216" s="69"/>
      <c r="G216" s="88">
        <f>G217+G219+G221+G223+G225+G227</f>
        <v>410638</v>
      </c>
      <c r="H216" s="88">
        <f>H217+H219+H221+H223+H225+H227</f>
        <v>0</v>
      </c>
      <c r="I216" s="88">
        <f>I217+I219+I221+I223+I225+I227</f>
        <v>0</v>
      </c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</row>
    <row r="217" spans="1:23" s="24" customFormat="1" ht="16.5" hidden="1">
      <c r="A217" s="118" t="s">
        <v>631</v>
      </c>
      <c r="B217" s="89">
        <v>841</v>
      </c>
      <c r="C217" s="69" t="s">
        <v>42</v>
      </c>
      <c r="D217" s="69" t="s">
        <v>792</v>
      </c>
      <c r="E217" s="69" t="s">
        <v>803</v>
      </c>
      <c r="F217" s="69"/>
      <c r="G217" s="88">
        <f>G218</f>
        <v>266651.3</v>
      </c>
      <c r="H217" s="88">
        <f>H218</f>
        <v>0</v>
      </c>
      <c r="I217" s="88">
        <f>I218</f>
        <v>0</v>
      </c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</row>
    <row r="218" spans="1:23" ht="16.5" hidden="1">
      <c r="A218" s="119" t="s">
        <v>189</v>
      </c>
      <c r="B218" s="89">
        <v>841</v>
      </c>
      <c r="C218" s="69" t="s">
        <v>42</v>
      </c>
      <c r="D218" s="69" t="s">
        <v>792</v>
      </c>
      <c r="E218" s="69" t="s">
        <v>803</v>
      </c>
      <c r="F218" s="69" t="s">
        <v>827</v>
      </c>
      <c r="G218" s="88">
        <f>'прил.16'!G966</f>
        <v>266651.3</v>
      </c>
      <c r="H218" s="88">
        <f>'прил.16'!H966</f>
        <v>0</v>
      </c>
      <c r="I218" s="88">
        <f>'прил.16'!I966</f>
        <v>0</v>
      </c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</row>
    <row r="219" spans="1:23" ht="35.25" customHeight="1" hidden="1">
      <c r="A219" s="118" t="s">
        <v>634</v>
      </c>
      <c r="B219" s="89">
        <v>841</v>
      </c>
      <c r="C219" s="69" t="s">
        <v>42</v>
      </c>
      <c r="D219" s="69" t="s">
        <v>792</v>
      </c>
      <c r="E219" s="69" t="s">
        <v>806</v>
      </c>
      <c r="F219" s="69"/>
      <c r="G219" s="88">
        <f>G220</f>
        <v>100000</v>
      </c>
      <c r="H219" s="88">
        <f>H220</f>
        <v>0</v>
      </c>
      <c r="I219" s="88">
        <f>I220</f>
        <v>0</v>
      </c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</row>
    <row r="220" spans="1:23" ht="16.5" hidden="1">
      <c r="A220" s="119" t="s">
        <v>189</v>
      </c>
      <c r="B220" s="89">
        <v>841</v>
      </c>
      <c r="C220" s="69" t="s">
        <v>42</v>
      </c>
      <c r="D220" s="69" t="s">
        <v>792</v>
      </c>
      <c r="E220" s="69" t="s">
        <v>806</v>
      </c>
      <c r="F220" s="69" t="s">
        <v>827</v>
      </c>
      <c r="G220" s="88">
        <f>'прил.16'!G968</f>
        <v>100000</v>
      </c>
      <c r="H220" s="88">
        <f>'прил.16'!H968</f>
        <v>0</v>
      </c>
      <c r="I220" s="88">
        <f>'прил.16'!I968</f>
        <v>0</v>
      </c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</row>
    <row r="221" spans="1:23" ht="16.5" hidden="1">
      <c r="A221" s="119" t="s">
        <v>286</v>
      </c>
      <c r="B221" s="89">
        <v>841</v>
      </c>
      <c r="C221" s="69" t="s">
        <v>42</v>
      </c>
      <c r="D221" s="69" t="s">
        <v>792</v>
      </c>
      <c r="E221" s="69" t="s">
        <v>807</v>
      </c>
      <c r="F221" s="69"/>
      <c r="G221" s="88">
        <f>G222</f>
        <v>0</v>
      </c>
      <c r="H221" s="88">
        <f>H222</f>
        <v>0</v>
      </c>
      <c r="I221" s="88">
        <f>I222</f>
        <v>0</v>
      </c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</row>
    <row r="222" spans="1:23" ht="16.5" hidden="1">
      <c r="A222" s="119" t="s">
        <v>189</v>
      </c>
      <c r="B222" s="89">
        <v>841</v>
      </c>
      <c r="C222" s="69" t="s">
        <v>42</v>
      </c>
      <c r="D222" s="69" t="s">
        <v>792</v>
      </c>
      <c r="E222" s="69" t="s">
        <v>807</v>
      </c>
      <c r="F222" s="69" t="s">
        <v>827</v>
      </c>
      <c r="G222" s="88">
        <f>'прил.16'!G970</f>
        <v>0</v>
      </c>
      <c r="H222" s="88">
        <f>'прил.16'!H970</f>
        <v>0</v>
      </c>
      <c r="I222" s="88">
        <f>'прил.16'!I970</f>
        <v>0</v>
      </c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</row>
    <row r="223" spans="1:23" ht="17.25" customHeight="1" hidden="1">
      <c r="A223" s="119" t="s">
        <v>323</v>
      </c>
      <c r="B223" s="89"/>
      <c r="C223" s="69" t="s">
        <v>42</v>
      </c>
      <c r="D223" s="69" t="s">
        <v>792</v>
      </c>
      <c r="E223" s="69" t="s">
        <v>292</v>
      </c>
      <c r="F223" s="69"/>
      <c r="G223" s="84">
        <f>G224</f>
        <v>0</v>
      </c>
      <c r="H223" s="84">
        <f>H224</f>
        <v>0</v>
      </c>
      <c r="I223" s="84">
        <f>I224</f>
        <v>0</v>
      </c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</row>
    <row r="224" spans="1:23" ht="16.5" hidden="1">
      <c r="A224" s="119" t="s">
        <v>401</v>
      </c>
      <c r="B224" s="89"/>
      <c r="C224" s="69" t="s">
        <v>42</v>
      </c>
      <c r="D224" s="69" t="s">
        <v>792</v>
      </c>
      <c r="E224" s="69" t="s">
        <v>292</v>
      </c>
      <c r="F224" s="69" t="s">
        <v>827</v>
      </c>
      <c r="G224" s="84">
        <f>'прил.16'!G972</f>
        <v>0</v>
      </c>
      <c r="H224" s="84">
        <f>'прил.16'!H972</f>
        <v>0</v>
      </c>
      <c r="I224" s="84">
        <f>'прил.16'!I972</f>
        <v>0</v>
      </c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</row>
    <row r="225" spans="1:23" ht="16.5" hidden="1">
      <c r="A225" s="119" t="s">
        <v>635</v>
      </c>
      <c r="B225" s="89"/>
      <c r="C225" s="69" t="s">
        <v>42</v>
      </c>
      <c r="D225" s="69" t="s">
        <v>792</v>
      </c>
      <c r="E225" s="69" t="s">
        <v>115</v>
      </c>
      <c r="F225" s="69"/>
      <c r="G225" s="84">
        <f>G226</f>
        <v>12986.7</v>
      </c>
      <c r="H225" s="84">
        <f>H226</f>
        <v>0</v>
      </c>
      <c r="I225" s="84">
        <f>I226</f>
        <v>0</v>
      </c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</row>
    <row r="226" spans="1:23" ht="16.5" hidden="1">
      <c r="A226" s="119" t="s">
        <v>636</v>
      </c>
      <c r="B226" s="89"/>
      <c r="C226" s="69" t="s">
        <v>42</v>
      </c>
      <c r="D226" s="69" t="s">
        <v>792</v>
      </c>
      <c r="E226" s="69" t="s">
        <v>115</v>
      </c>
      <c r="F226" s="69" t="s">
        <v>827</v>
      </c>
      <c r="G226" s="84">
        <f>'прил.16'!G974</f>
        <v>12986.7</v>
      </c>
      <c r="H226" s="84">
        <f>'прил.16'!H974</f>
        <v>0</v>
      </c>
      <c r="I226" s="84">
        <f>'прил.16'!I974</f>
        <v>0</v>
      </c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</row>
    <row r="227" spans="1:23" ht="33" hidden="1">
      <c r="A227" s="118" t="s">
        <v>170</v>
      </c>
      <c r="B227" s="89"/>
      <c r="C227" s="69" t="s">
        <v>42</v>
      </c>
      <c r="D227" s="69" t="s">
        <v>792</v>
      </c>
      <c r="E227" s="69" t="s">
        <v>522</v>
      </c>
      <c r="F227" s="69"/>
      <c r="G227" s="84">
        <f>G228</f>
        <v>31000</v>
      </c>
      <c r="H227" s="84">
        <f>H228</f>
        <v>0</v>
      </c>
      <c r="I227" s="84">
        <f>I228</f>
        <v>0</v>
      </c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</row>
    <row r="228" spans="1:23" ht="16.5" hidden="1">
      <c r="A228" s="119" t="s">
        <v>636</v>
      </c>
      <c r="B228" s="89"/>
      <c r="C228" s="69" t="s">
        <v>42</v>
      </c>
      <c r="D228" s="69" t="s">
        <v>792</v>
      </c>
      <c r="E228" s="69" t="s">
        <v>522</v>
      </c>
      <c r="F228" s="69" t="s">
        <v>827</v>
      </c>
      <c r="G228" s="84">
        <f>'прил.16'!G976</f>
        <v>31000</v>
      </c>
      <c r="H228" s="84">
        <f>'прил.16'!H976</f>
        <v>0</v>
      </c>
      <c r="I228" s="84">
        <f>'прил.16'!I976</f>
        <v>0</v>
      </c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</row>
    <row r="229" spans="1:23" ht="16.5">
      <c r="A229" s="116" t="s">
        <v>380</v>
      </c>
      <c r="B229" s="89"/>
      <c r="C229" s="69" t="s">
        <v>42</v>
      </c>
      <c r="D229" s="69" t="s">
        <v>792</v>
      </c>
      <c r="E229" s="69" t="s">
        <v>381</v>
      </c>
      <c r="F229" s="69"/>
      <c r="G229" s="84">
        <f aca="true" t="shared" si="21" ref="G229:I230">G230</f>
        <v>154724.3</v>
      </c>
      <c r="H229" s="84">
        <f t="shared" si="21"/>
        <v>416152.8</v>
      </c>
      <c r="I229" s="84">
        <f t="shared" si="21"/>
        <v>0</v>
      </c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</row>
    <row r="230" spans="1:23" ht="49.5">
      <c r="A230" s="116" t="s">
        <v>678</v>
      </c>
      <c r="B230" s="89"/>
      <c r="C230" s="81" t="s">
        <v>42</v>
      </c>
      <c r="D230" s="69" t="s">
        <v>792</v>
      </c>
      <c r="E230" s="69" t="s">
        <v>212</v>
      </c>
      <c r="F230" s="69"/>
      <c r="G230" s="84">
        <f t="shared" si="21"/>
        <v>154724.3</v>
      </c>
      <c r="H230" s="84">
        <f t="shared" si="21"/>
        <v>416152.8</v>
      </c>
      <c r="I230" s="84">
        <f t="shared" si="21"/>
        <v>0</v>
      </c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</row>
    <row r="231" spans="1:23" ht="33">
      <c r="A231" s="116" t="s">
        <v>187</v>
      </c>
      <c r="B231" s="89"/>
      <c r="C231" s="81" t="s">
        <v>42</v>
      </c>
      <c r="D231" s="69" t="s">
        <v>792</v>
      </c>
      <c r="E231" s="69" t="s">
        <v>212</v>
      </c>
      <c r="F231" s="69" t="s">
        <v>64</v>
      </c>
      <c r="G231" s="84">
        <f>'прил.16'!G979</f>
        <v>154724.3</v>
      </c>
      <c r="H231" s="84">
        <f>'прил.16'!H979</f>
        <v>416152.8</v>
      </c>
      <c r="I231" s="84">
        <f>'прил.16'!I979</f>
        <v>0</v>
      </c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</row>
    <row r="232" spans="1:23" ht="16.5">
      <c r="A232" s="116" t="s">
        <v>402</v>
      </c>
      <c r="B232" s="89">
        <v>803</v>
      </c>
      <c r="C232" s="69" t="s">
        <v>42</v>
      </c>
      <c r="D232" s="69" t="s">
        <v>792</v>
      </c>
      <c r="E232" s="69" t="s">
        <v>403</v>
      </c>
      <c r="F232" s="69"/>
      <c r="G232" s="84">
        <f>G233+G236+G239+G241+G243+G245</f>
        <v>557809.6</v>
      </c>
      <c r="H232" s="84">
        <f>H233+H236+H239+H241+H243+H245</f>
        <v>518861.4</v>
      </c>
      <c r="I232" s="84">
        <f>I233+I236+I239+I241+I243+I245</f>
        <v>546516.0999999999</v>
      </c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</row>
    <row r="233" spans="1:23" ht="16.5">
      <c r="A233" s="116" t="s">
        <v>469</v>
      </c>
      <c r="B233" s="89">
        <v>803</v>
      </c>
      <c r="C233" s="69" t="s">
        <v>42</v>
      </c>
      <c r="D233" s="69" t="s">
        <v>792</v>
      </c>
      <c r="E233" s="69" t="s">
        <v>404</v>
      </c>
      <c r="F233" s="69"/>
      <c r="G233" s="84">
        <f>SUM(G234:G235)</f>
        <v>53995.2</v>
      </c>
      <c r="H233" s="84">
        <f>SUM(H234:H235)</f>
        <v>59658.3</v>
      </c>
      <c r="I233" s="84">
        <f>SUM(I234:I235)</f>
        <v>65921.4</v>
      </c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</row>
    <row r="234" spans="1:23" ht="16.5">
      <c r="A234" s="119" t="s">
        <v>628</v>
      </c>
      <c r="B234" s="89"/>
      <c r="C234" s="69" t="s">
        <v>42</v>
      </c>
      <c r="D234" s="69" t="s">
        <v>792</v>
      </c>
      <c r="E234" s="69" t="s">
        <v>404</v>
      </c>
      <c r="F234" s="69" t="s">
        <v>252</v>
      </c>
      <c r="G234" s="84">
        <f>'прил.16'!G220</f>
        <v>24360.7</v>
      </c>
      <c r="H234" s="84">
        <f>'прил.16'!H220</f>
        <v>25578.7</v>
      </c>
      <c r="I234" s="84">
        <f>'прил.16'!I220</f>
        <v>26729.8</v>
      </c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</row>
    <row r="235" spans="1:23" ht="16.5">
      <c r="A235" s="118" t="s">
        <v>346</v>
      </c>
      <c r="B235" s="89">
        <v>803</v>
      </c>
      <c r="C235" s="69" t="s">
        <v>42</v>
      </c>
      <c r="D235" s="69" t="s">
        <v>792</v>
      </c>
      <c r="E235" s="69" t="s">
        <v>404</v>
      </c>
      <c r="F235" s="69" t="s">
        <v>197</v>
      </c>
      <c r="G235" s="84">
        <f>'прил.16'!G221</f>
        <v>29634.5</v>
      </c>
      <c r="H235" s="84">
        <f>'прил.16'!H221</f>
        <v>34079.6</v>
      </c>
      <c r="I235" s="84">
        <f>'прил.16'!I221</f>
        <v>39191.6</v>
      </c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</row>
    <row r="236" spans="1:23" ht="34.5" customHeight="1">
      <c r="A236" s="119" t="s">
        <v>405</v>
      </c>
      <c r="B236" s="89">
        <v>803</v>
      </c>
      <c r="C236" s="69" t="s">
        <v>42</v>
      </c>
      <c r="D236" s="69" t="s">
        <v>792</v>
      </c>
      <c r="E236" s="69" t="s">
        <v>406</v>
      </c>
      <c r="F236" s="69"/>
      <c r="G236" s="84">
        <f>G237+G238</f>
        <v>486087.89999999997</v>
      </c>
      <c r="H236" s="84">
        <f>H237+H238</f>
        <v>440585.9</v>
      </c>
      <c r="I236" s="84">
        <f>I237+I238</f>
        <v>461134.39999999997</v>
      </c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</row>
    <row r="237" spans="1:23" ht="19.5" customHeight="1">
      <c r="A237" s="119" t="s">
        <v>628</v>
      </c>
      <c r="B237" s="89"/>
      <c r="C237" s="69" t="s">
        <v>42</v>
      </c>
      <c r="D237" s="69" t="s">
        <v>792</v>
      </c>
      <c r="E237" s="69" t="s">
        <v>406</v>
      </c>
      <c r="F237" s="69" t="s">
        <v>252</v>
      </c>
      <c r="G237" s="84">
        <f>'прил.16'!G223</f>
        <v>2493.6</v>
      </c>
      <c r="H237" s="84">
        <f>'прил.16'!H223</f>
        <v>2618.2</v>
      </c>
      <c r="I237" s="84">
        <f>'прил.16'!I223</f>
        <v>2736.1</v>
      </c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</row>
    <row r="238" spans="1:23" ht="19.5" customHeight="1">
      <c r="A238" s="118" t="s">
        <v>346</v>
      </c>
      <c r="B238" s="89">
        <v>803</v>
      </c>
      <c r="C238" s="69" t="s">
        <v>42</v>
      </c>
      <c r="D238" s="69" t="s">
        <v>792</v>
      </c>
      <c r="E238" s="69" t="s">
        <v>406</v>
      </c>
      <c r="F238" s="69" t="s">
        <v>197</v>
      </c>
      <c r="G238" s="94">
        <f>'прил.16'!G224+'прил.16'!G880</f>
        <v>483594.3</v>
      </c>
      <c r="H238" s="94">
        <f>'прил.16'!H224+'прил.16'!H880</f>
        <v>437967.7</v>
      </c>
      <c r="I238" s="94">
        <f>'прил.16'!I224+'прил.16'!I880</f>
        <v>458398.3</v>
      </c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</row>
    <row r="239" spans="1:23" ht="16.5">
      <c r="A239" s="119" t="s">
        <v>407</v>
      </c>
      <c r="B239" s="89">
        <v>803</v>
      </c>
      <c r="C239" s="69" t="s">
        <v>42</v>
      </c>
      <c r="D239" s="69" t="s">
        <v>792</v>
      </c>
      <c r="E239" s="69" t="s">
        <v>408</v>
      </c>
      <c r="F239" s="69"/>
      <c r="G239" s="84">
        <f>G240</f>
        <v>15026.4</v>
      </c>
      <c r="H239" s="84">
        <f>H240</f>
        <v>15777.7</v>
      </c>
      <c r="I239" s="84">
        <f>I240</f>
        <v>16487.7</v>
      </c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</row>
    <row r="240" spans="1:23" ht="16.5">
      <c r="A240" s="118" t="s">
        <v>346</v>
      </c>
      <c r="B240" s="89">
        <v>803</v>
      </c>
      <c r="C240" s="69" t="s">
        <v>42</v>
      </c>
      <c r="D240" s="69" t="s">
        <v>792</v>
      </c>
      <c r="E240" s="69" t="s">
        <v>408</v>
      </c>
      <c r="F240" s="69" t="s">
        <v>197</v>
      </c>
      <c r="G240" s="84">
        <f>'прил.16'!G226</f>
        <v>15026.4</v>
      </c>
      <c r="H240" s="84">
        <f>'прил.16'!H226</f>
        <v>15777.7</v>
      </c>
      <c r="I240" s="84">
        <f>'прил.16'!I226</f>
        <v>16487.7</v>
      </c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</row>
    <row r="241" spans="1:23" ht="17.25" customHeight="1">
      <c r="A241" s="119" t="s">
        <v>507</v>
      </c>
      <c r="B241" s="89">
        <v>803</v>
      </c>
      <c r="C241" s="69" t="s">
        <v>42</v>
      </c>
      <c r="D241" s="69" t="s">
        <v>792</v>
      </c>
      <c r="E241" s="69" t="s">
        <v>409</v>
      </c>
      <c r="F241" s="69"/>
      <c r="G241" s="88">
        <f>G242</f>
        <v>2700.1</v>
      </c>
      <c r="H241" s="88">
        <f>H242</f>
        <v>2839.5</v>
      </c>
      <c r="I241" s="88">
        <f>I242</f>
        <v>2972.6</v>
      </c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</row>
    <row r="242" spans="1:23" ht="17.25" customHeight="1">
      <c r="A242" s="118" t="s">
        <v>346</v>
      </c>
      <c r="B242" s="89">
        <v>803</v>
      </c>
      <c r="C242" s="69" t="s">
        <v>42</v>
      </c>
      <c r="D242" s="69" t="s">
        <v>792</v>
      </c>
      <c r="E242" s="69" t="s">
        <v>409</v>
      </c>
      <c r="F242" s="69" t="s">
        <v>197</v>
      </c>
      <c r="G242" s="88">
        <f>'прил.16'!G228+'прил.16'!G882</f>
        <v>2700.1</v>
      </c>
      <c r="H242" s="88">
        <f>'прил.16'!H228+'прил.16'!H882</f>
        <v>2839.5</v>
      </c>
      <c r="I242" s="88">
        <f>'прил.16'!I228+'прил.16'!I882</f>
        <v>2972.6</v>
      </c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</row>
    <row r="243" spans="1:23" ht="17.25" customHeight="1" hidden="1">
      <c r="A243" s="119" t="s">
        <v>468</v>
      </c>
      <c r="B243" s="89">
        <v>803</v>
      </c>
      <c r="C243" s="69" t="s">
        <v>42</v>
      </c>
      <c r="D243" s="69" t="s">
        <v>792</v>
      </c>
      <c r="E243" s="69" t="s">
        <v>410</v>
      </c>
      <c r="F243" s="69"/>
      <c r="G243" s="84">
        <f>G244</f>
        <v>0</v>
      </c>
      <c r="H243" s="84">
        <f>H244</f>
        <v>0</v>
      </c>
      <c r="I243" s="84">
        <f>I244</f>
        <v>0</v>
      </c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</row>
    <row r="244" spans="1:23" ht="17.25" customHeight="1" hidden="1">
      <c r="A244" s="118" t="s">
        <v>346</v>
      </c>
      <c r="B244" s="89">
        <v>803</v>
      </c>
      <c r="C244" s="69" t="s">
        <v>42</v>
      </c>
      <c r="D244" s="69" t="s">
        <v>792</v>
      </c>
      <c r="E244" s="69" t="s">
        <v>410</v>
      </c>
      <c r="F244" s="69" t="s">
        <v>197</v>
      </c>
      <c r="G244" s="84">
        <f>'прил.16'!G230</f>
        <v>0</v>
      </c>
      <c r="H244" s="84">
        <f>'прил.16'!H230</f>
        <v>0</v>
      </c>
      <c r="I244" s="84">
        <f>'прил.16'!I230</f>
        <v>0</v>
      </c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</row>
    <row r="245" spans="1:23" ht="17.25" customHeight="1" hidden="1">
      <c r="A245" s="120" t="s">
        <v>213</v>
      </c>
      <c r="B245" s="89"/>
      <c r="C245" s="69" t="s">
        <v>42</v>
      </c>
      <c r="D245" s="69" t="s">
        <v>792</v>
      </c>
      <c r="E245" s="69" t="s">
        <v>410</v>
      </c>
      <c r="F245" s="69"/>
      <c r="G245" s="84">
        <f>G246</f>
        <v>0</v>
      </c>
      <c r="H245" s="84">
        <f>H246</f>
        <v>0</v>
      </c>
      <c r="I245" s="84">
        <f>I246</f>
        <v>0</v>
      </c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</row>
    <row r="246" spans="1:23" ht="17.25" customHeight="1" hidden="1">
      <c r="A246" s="120" t="s">
        <v>300</v>
      </c>
      <c r="B246" s="89"/>
      <c r="C246" s="69" t="s">
        <v>42</v>
      </c>
      <c r="D246" s="69" t="s">
        <v>792</v>
      </c>
      <c r="E246" s="69" t="s">
        <v>410</v>
      </c>
      <c r="F246" s="69" t="s">
        <v>252</v>
      </c>
      <c r="G246" s="84">
        <f>'прил.16'!G230</f>
        <v>0</v>
      </c>
      <c r="H246" s="84">
        <f>'прил.16'!H230</f>
        <v>0</v>
      </c>
      <c r="I246" s="84">
        <f>'прил.16'!I230</f>
        <v>0</v>
      </c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</row>
    <row r="247" spans="1:23" ht="16.5">
      <c r="A247" s="116" t="s">
        <v>411</v>
      </c>
      <c r="B247" s="89">
        <v>803</v>
      </c>
      <c r="C247" s="69" t="s">
        <v>42</v>
      </c>
      <c r="D247" s="69" t="s">
        <v>42</v>
      </c>
      <c r="E247" s="69"/>
      <c r="F247" s="69"/>
      <c r="G247" s="84">
        <f>G248</f>
        <v>15972.699999999999</v>
      </c>
      <c r="H247" s="84">
        <f>H248</f>
        <v>15983.5</v>
      </c>
      <c r="I247" s="84">
        <f>I248</f>
        <v>15993.8</v>
      </c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</row>
    <row r="248" spans="1:23" ht="52.5" customHeight="1">
      <c r="A248" s="118" t="s">
        <v>26</v>
      </c>
      <c r="B248" s="89">
        <v>803</v>
      </c>
      <c r="C248" s="69" t="s">
        <v>42</v>
      </c>
      <c r="D248" s="69" t="s">
        <v>42</v>
      </c>
      <c r="E248" s="69" t="s">
        <v>27</v>
      </c>
      <c r="F248" s="69"/>
      <c r="G248" s="84">
        <f aca="true" t="shared" si="22" ref="G248:I249">G249</f>
        <v>15972.699999999999</v>
      </c>
      <c r="H248" s="84">
        <f t="shared" si="22"/>
        <v>15983.5</v>
      </c>
      <c r="I248" s="84">
        <f t="shared" si="22"/>
        <v>15993.8</v>
      </c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</row>
    <row r="249" spans="1:23" ht="16.5">
      <c r="A249" s="118" t="s">
        <v>560</v>
      </c>
      <c r="B249" s="89">
        <v>803</v>
      </c>
      <c r="C249" s="69" t="s">
        <v>42</v>
      </c>
      <c r="D249" s="69" t="s">
        <v>42</v>
      </c>
      <c r="E249" s="69" t="s">
        <v>29</v>
      </c>
      <c r="F249" s="69"/>
      <c r="G249" s="84">
        <f t="shared" si="22"/>
        <v>15972.699999999999</v>
      </c>
      <c r="H249" s="84">
        <f t="shared" si="22"/>
        <v>15983.5</v>
      </c>
      <c r="I249" s="84">
        <f t="shared" si="22"/>
        <v>15993.8</v>
      </c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</row>
    <row r="250" spans="1:23" ht="16.5">
      <c r="A250" s="118" t="s">
        <v>346</v>
      </c>
      <c r="B250" s="89">
        <v>803</v>
      </c>
      <c r="C250" s="69" t="s">
        <v>42</v>
      </c>
      <c r="D250" s="69" t="s">
        <v>42</v>
      </c>
      <c r="E250" s="69" t="s">
        <v>29</v>
      </c>
      <c r="F250" s="69" t="s">
        <v>197</v>
      </c>
      <c r="G250" s="84">
        <f>'прил.16'!G234</f>
        <v>15972.699999999999</v>
      </c>
      <c r="H250" s="84">
        <f>'прил.16'!H234</f>
        <v>15983.5</v>
      </c>
      <c r="I250" s="84">
        <f>'прил.16'!I234</f>
        <v>15993.8</v>
      </c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</row>
    <row r="251" spans="1:23" ht="16.5">
      <c r="A251" s="116" t="s">
        <v>113</v>
      </c>
      <c r="B251" s="75"/>
      <c r="C251" s="69" t="s">
        <v>794</v>
      </c>
      <c r="D251" s="69"/>
      <c r="E251" s="69"/>
      <c r="F251" s="69"/>
      <c r="G251" s="84">
        <f>G256+G252</f>
        <v>18767.2</v>
      </c>
      <c r="H251" s="84">
        <f>H256+H252</f>
        <v>16189.699999999999</v>
      </c>
      <c r="I251" s="84">
        <f>I256+I252</f>
        <v>17023.600000000002</v>
      </c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</row>
    <row r="252" spans="1:23" ht="16.5">
      <c r="A252" s="121" t="s">
        <v>637</v>
      </c>
      <c r="B252" s="75"/>
      <c r="C252" s="69" t="s">
        <v>794</v>
      </c>
      <c r="D252" s="69" t="s">
        <v>792</v>
      </c>
      <c r="E252" s="69"/>
      <c r="F252" s="69"/>
      <c r="G252" s="84">
        <f aca="true" t="shared" si="23" ref="G252:I254">G253</f>
        <v>2018.4</v>
      </c>
      <c r="H252" s="84">
        <f t="shared" si="23"/>
        <v>2018.4</v>
      </c>
      <c r="I252" s="84">
        <f t="shared" si="23"/>
        <v>2018.4</v>
      </c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</row>
    <row r="253" spans="1:23" ht="16.5">
      <c r="A253" s="121" t="s">
        <v>609</v>
      </c>
      <c r="B253" s="75"/>
      <c r="C253" s="69" t="s">
        <v>794</v>
      </c>
      <c r="D253" s="69" t="s">
        <v>792</v>
      </c>
      <c r="E253" s="69" t="s">
        <v>15</v>
      </c>
      <c r="F253" s="69"/>
      <c r="G253" s="84">
        <f t="shared" si="23"/>
        <v>2018.4</v>
      </c>
      <c r="H253" s="84">
        <f t="shared" si="23"/>
        <v>2018.4</v>
      </c>
      <c r="I253" s="84">
        <f t="shared" si="23"/>
        <v>2018.4</v>
      </c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</row>
    <row r="254" spans="1:23" ht="36" customHeight="1">
      <c r="A254" s="133" t="s">
        <v>822</v>
      </c>
      <c r="B254" s="75"/>
      <c r="C254" s="69" t="s">
        <v>794</v>
      </c>
      <c r="D254" s="69" t="s">
        <v>792</v>
      </c>
      <c r="E254" s="69" t="s">
        <v>172</v>
      </c>
      <c r="F254" s="69"/>
      <c r="G254" s="84">
        <f t="shared" si="23"/>
        <v>2018.4</v>
      </c>
      <c r="H254" s="84">
        <f t="shared" si="23"/>
        <v>2018.4</v>
      </c>
      <c r="I254" s="84">
        <f t="shared" si="23"/>
        <v>2018.4</v>
      </c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</row>
    <row r="255" spans="1:23" ht="16.5">
      <c r="A255" s="127" t="s">
        <v>601</v>
      </c>
      <c r="B255" s="75"/>
      <c r="C255" s="69" t="s">
        <v>794</v>
      </c>
      <c r="D255" s="69" t="s">
        <v>792</v>
      </c>
      <c r="E255" s="69" t="s">
        <v>172</v>
      </c>
      <c r="F255" s="69" t="s">
        <v>195</v>
      </c>
      <c r="G255" s="84">
        <f>'прил.16'!G830</f>
        <v>2018.4</v>
      </c>
      <c r="H255" s="84">
        <f>'прил.16'!H830</f>
        <v>2018.4</v>
      </c>
      <c r="I255" s="84">
        <f>'прил.16'!I830</f>
        <v>2018.4</v>
      </c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</row>
    <row r="256" spans="1:23" ht="16.5">
      <c r="A256" s="116" t="s">
        <v>638</v>
      </c>
      <c r="B256" s="89">
        <v>841</v>
      </c>
      <c r="C256" s="69" t="s">
        <v>794</v>
      </c>
      <c r="D256" s="69" t="s">
        <v>42</v>
      </c>
      <c r="E256" s="69"/>
      <c r="F256" s="69"/>
      <c r="G256" s="84">
        <f>G257+G264+G260</f>
        <v>16748.8</v>
      </c>
      <c r="H256" s="84">
        <f>H257+H264+H260</f>
        <v>14171.3</v>
      </c>
      <c r="I256" s="84">
        <f>I257+I264+I260</f>
        <v>15005.2</v>
      </c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</row>
    <row r="257" spans="1:23" ht="53.25" customHeight="1">
      <c r="A257" s="118" t="s">
        <v>26</v>
      </c>
      <c r="B257" s="75"/>
      <c r="C257" s="69" t="s">
        <v>794</v>
      </c>
      <c r="D257" s="69" t="s">
        <v>42</v>
      </c>
      <c r="E257" s="69" t="s">
        <v>27</v>
      </c>
      <c r="F257" s="69"/>
      <c r="G257" s="84">
        <f aca="true" t="shared" si="24" ref="G257:I258">G258</f>
        <v>8443.8</v>
      </c>
      <c r="H257" s="84">
        <f t="shared" si="24"/>
        <v>8431.3</v>
      </c>
      <c r="I257" s="84">
        <f t="shared" si="24"/>
        <v>8435.2</v>
      </c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</row>
    <row r="258" spans="1:23" ht="16.5">
      <c r="A258" s="118" t="s">
        <v>560</v>
      </c>
      <c r="B258" s="86"/>
      <c r="C258" s="69" t="s">
        <v>794</v>
      </c>
      <c r="D258" s="69" t="s">
        <v>42</v>
      </c>
      <c r="E258" s="69" t="s">
        <v>29</v>
      </c>
      <c r="F258" s="69"/>
      <c r="G258" s="84">
        <f t="shared" si="24"/>
        <v>8443.8</v>
      </c>
      <c r="H258" s="84">
        <f t="shared" si="24"/>
        <v>8431.3</v>
      </c>
      <c r="I258" s="84">
        <f t="shared" si="24"/>
        <v>8435.2</v>
      </c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</row>
    <row r="259" spans="1:23" ht="16.5">
      <c r="A259" s="118" t="s">
        <v>346</v>
      </c>
      <c r="B259" s="78"/>
      <c r="C259" s="69" t="s">
        <v>794</v>
      </c>
      <c r="D259" s="69" t="s">
        <v>42</v>
      </c>
      <c r="E259" s="69" t="s">
        <v>29</v>
      </c>
      <c r="F259" s="69" t="s">
        <v>197</v>
      </c>
      <c r="G259" s="84">
        <f>'прил.16'!G834</f>
        <v>8443.8</v>
      </c>
      <c r="H259" s="84">
        <f>'прил.16'!H834</f>
        <v>8431.3</v>
      </c>
      <c r="I259" s="84">
        <f>'прил.16'!I834</f>
        <v>8435.2</v>
      </c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</row>
    <row r="260" spans="1:23" ht="33" hidden="1">
      <c r="A260" s="118" t="s">
        <v>621</v>
      </c>
      <c r="B260" s="78"/>
      <c r="C260" s="69" t="s">
        <v>794</v>
      </c>
      <c r="D260" s="69" t="s">
        <v>42</v>
      </c>
      <c r="E260" s="69" t="s">
        <v>392</v>
      </c>
      <c r="F260" s="69"/>
      <c r="G260" s="84">
        <f>G261</f>
        <v>3000</v>
      </c>
      <c r="H260" s="84">
        <f>H261</f>
        <v>0</v>
      </c>
      <c r="I260" s="84">
        <f>I261</f>
        <v>0</v>
      </c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</row>
    <row r="261" spans="1:23" ht="16.5" hidden="1">
      <c r="A261" s="118" t="s">
        <v>752</v>
      </c>
      <c r="B261" s="89">
        <v>841</v>
      </c>
      <c r="C261" s="69" t="s">
        <v>794</v>
      </c>
      <c r="D261" s="69" t="s">
        <v>42</v>
      </c>
      <c r="E261" s="69" t="s">
        <v>800</v>
      </c>
      <c r="F261" s="69"/>
      <c r="G261" s="84">
        <f aca="true" t="shared" si="25" ref="G261:I262">G262</f>
        <v>3000</v>
      </c>
      <c r="H261" s="84">
        <f t="shared" si="25"/>
        <v>0</v>
      </c>
      <c r="I261" s="84">
        <f t="shared" si="25"/>
        <v>0</v>
      </c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</row>
    <row r="262" spans="1:23" ht="16.5" hidden="1">
      <c r="A262" s="118" t="s">
        <v>623</v>
      </c>
      <c r="B262" s="89">
        <v>841</v>
      </c>
      <c r="C262" s="69" t="s">
        <v>794</v>
      </c>
      <c r="D262" s="69" t="s">
        <v>42</v>
      </c>
      <c r="E262" s="69" t="s">
        <v>803</v>
      </c>
      <c r="F262" s="69"/>
      <c r="G262" s="84">
        <f t="shared" si="25"/>
        <v>3000</v>
      </c>
      <c r="H262" s="84">
        <f t="shared" si="25"/>
        <v>0</v>
      </c>
      <c r="I262" s="84">
        <f t="shared" si="25"/>
        <v>0</v>
      </c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</row>
    <row r="263" spans="1:23" ht="16.5" hidden="1">
      <c r="A263" s="119" t="s">
        <v>189</v>
      </c>
      <c r="B263" s="89">
        <v>841</v>
      </c>
      <c r="C263" s="69" t="s">
        <v>794</v>
      </c>
      <c r="D263" s="69" t="s">
        <v>42</v>
      </c>
      <c r="E263" s="69" t="s">
        <v>803</v>
      </c>
      <c r="F263" s="69" t="s">
        <v>827</v>
      </c>
      <c r="G263" s="84">
        <f>'прил.16'!G985</f>
        <v>3000</v>
      </c>
      <c r="H263" s="84">
        <f>'прил.16'!H985</f>
        <v>0</v>
      </c>
      <c r="I263" s="84">
        <f>'прил.16'!I985</f>
        <v>0</v>
      </c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</row>
    <row r="264" spans="1:23" ht="16.5">
      <c r="A264" s="116" t="s">
        <v>349</v>
      </c>
      <c r="B264" s="89">
        <v>840</v>
      </c>
      <c r="C264" s="69" t="s">
        <v>794</v>
      </c>
      <c r="D264" s="69" t="s">
        <v>42</v>
      </c>
      <c r="E264" s="69" t="s">
        <v>343</v>
      </c>
      <c r="F264" s="69"/>
      <c r="G264" s="84">
        <f>G266</f>
        <v>5305</v>
      </c>
      <c r="H264" s="84">
        <f>H266</f>
        <v>5740</v>
      </c>
      <c r="I264" s="84">
        <f>I266</f>
        <v>6570</v>
      </c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</row>
    <row r="265" spans="1:23" ht="16.5">
      <c r="A265" s="116" t="s">
        <v>380</v>
      </c>
      <c r="B265" s="89">
        <v>840</v>
      </c>
      <c r="C265" s="69" t="s">
        <v>794</v>
      </c>
      <c r="D265" s="69" t="s">
        <v>42</v>
      </c>
      <c r="E265" s="69" t="s">
        <v>344</v>
      </c>
      <c r="F265" s="69"/>
      <c r="G265" s="84">
        <f aca="true" t="shared" si="26" ref="G265:I266">G266</f>
        <v>5305</v>
      </c>
      <c r="H265" s="84">
        <f t="shared" si="26"/>
        <v>5740</v>
      </c>
      <c r="I265" s="84">
        <f t="shared" si="26"/>
        <v>6570</v>
      </c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</row>
    <row r="266" spans="1:23" ht="18" customHeight="1">
      <c r="A266" s="116" t="s">
        <v>764</v>
      </c>
      <c r="B266" s="89">
        <v>840</v>
      </c>
      <c r="C266" s="69" t="s">
        <v>794</v>
      </c>
      <c r="D266" s="69" t="s">
        <v>42</v>
      </c>
      <c r="E266" s="69" t="s">
        <v>350</v>
      </c>
      <c r="F266" s="69"/>
      <c r="G266" s="84">
        <f t="shared" si="26"/>
        <v>5305</v>
      </c>
      <c r="H266" s="84">
        <f t="shared" si="26"/>
        <v>5740</v>
      </c>
      <c r="I266" s="84">
        <f t="shared" si="26"/>
        <v>6570</v>
      </c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</row>
    <row r="267" spans="1:23" ht="16.5">
      <c r="A267" s="118" t="s">
        <v>504</v>
      </c>
      <c r="B267" s="89">
        <v>840</v>
      </c>
      <c r="C267" s="69" t="s">
        <v>794</v>
      </c>
      <c r="D267" s="69" t="s">
        <v>42</v>
      </c>
      <c r="E267" s="69" t="s">
        <v>350</v>
      </c>
      <c r="F267" s="69" t="s">
        <v>448</v>
      </c>
      <c r="G267" s="84">
        <f>'прил.16'!G838</f>
        <v>5305</v>
      </c>
      <c r="H267" s="84">
        <f>'прил.16'!H838</f>
        <v>5740</v>
      </c>
      <c r="I267" s="84">
        <f>'прил.16'!I838</f>
        <v>6570</v>
      </c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</row>
    <row r="268" spans="1:23" ht="16.5">
      <c r="A268" s="116" t="s">
        <v>116</v>
      </c>
      <c r="B268" s="75"/>
      <c r="C268" s="69" t="s">
        <v>508</v>
      </c>
      <c r="D268" s="69"/>
      <c r="E268" s="69"/>
      <c r="F268" s="69"/>
      <c r="G268" s="84">
        <f>G269+G279+G315+G319+G325+G349</f>
        <v>2294335.0000000005</v>
      </c>
      <c r="H268" s="84">
        <f>H269+H279+H315+H319+H325+H349</f>
        <v>2049791.2000000002</v>
      </c>
      <c r="I268" s="84">
        <f>I269+I279+I315+I319+I325+I349</f>
        <v>2092183.2</v>
      </c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</row>
    <row r="269" spans="1:23" ht="16.5">
      <c r="A269" s="116" t="s">
        <v>436</v>
      </c>
      <c r="B269" s="89">
        <v>805</v>
      </c>
      <c r="C269" s="69" t="s">
        <v>508</v>
      </c>
      <c r="D269" s="69" t="s">
        <v>790</v>
      </c>
      <c r="E269" s="98"/>
      <c r="F269" s="98"/>
      <c r="G269" s="84">
        <f>G270+G275</f>
        <v>872919.7000000001</v>
      </c>
      <c r="H269" s="84">
        <f>H270+H275</f>
        <v>866592.7000000001</v>
      </c>
      <c r="I269" s="84">
        <f>I270+I275</f>
        <v>883803.5</v>
      </c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</row>
    <row r="270" spans="1:23" ht="16.5">
      <c r="A270" s="116" t="s">
        <v>639</v>
      </c>
      <c r="B270" s="89">
        <v>805</v>
      </c>
      <c r="C270" s="69" t="s">
        <v>508</v>
      </c>
      <c r="D270" s="69" t="s">
        <v>790</v>
      </c>
      <c r="E270" s="69" t="s">
        <v>437</v>
      </c>
      <c r="F270" s="98"/>
      <c r="G270" s="84">
        <f>G271+G273</f>
        <v>870175.1000000001</v>
      </c>
      <c r="H270" s="84">
        <f>H271+H273</f>
        <v>863985.3</v>
      </c>
      <c r="I270" s="84">
        <f>I271+I273</f>
        <v>881196.1</v>
      </c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</row>
    <row r="271" spans="1:23" ht="16.5">
      <c r="A271" s="116" t="s">
        <v>564</v>
      </c>
      <c r="B271" s="89">
        <v>805</v>
      </c>
      <c r="C271" s="69" t="s">
        <v>508</v>
      </c>
      <c r="D271" s="69" t="s">
        <v>790</v>
      </c>
      <c r="E271" s="69" t="s">
        <v>476</v>
      </c>
      <c r="F271" s="98"/>
      <c r="G271" s="84">
        <f>G272</f>
        <v>28132</v>
      </c>
      <c r="H271" s="84">
        <f>H272</f>
        <v>28394.5</v>
      </c>
      <c r="I271" s="84">
        <f>I272</f>
        <v>28394.5</v>
      </c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</row>
    <row r="272" spans="1:23" ht="15.75" customHeight="1">
      <c r="A272" s="118" t="s">
        <v>836</v>
      </c>
      <c r="B272" s="89">
        <v>805</v>
      </c>
      <c r="C272" s="69" t="s">
        <v>508</v>
      </c>
      <c r="D272" s="69" t="s">
        <v>790</v>
      </c>
      <c r="E272" s="69" t="s">
        <v>476</v>
      </c>
      <c r="F272" s="69" t="s">
        <v>545</v>
      </c>
      <c r="G272" s="84">
        <f>'прил.16'!G287</f>
        <v>28132</v>
      </c>
      <c r="H272" s="84">
        <f>'прил.16'!H287</f>
        <v>28394.5</v>
      </c>
      <c r="I272" s="84">
        <f>'прил.16'!I287</f>
        <v>28394.5</v>
      </c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</row>
    <row r="273" spans="1:23" s="19" customFormat="1" ht="18" customHeight="1">
      <c r="A273" s="116" t="s">
        <v>540</v>
      </c>
      <c r="B273" s="89">
        <v>805</v>
      </c>
      <c r="C273" s="69" t="s">
        <v>508</v>
      </c>
      <c r="D273" s="69" t="s">
        <v>790</v>
      </c>
      <c r="E273" s="69" t="s">
        <v>438</v>
      </c>
      <c r="F273" s="98"/>
      <c r="G273" s="84">
        <f>G274</f>
        <v>842043.1000000001</v>
      </c>
      <c r="H273" s="84">
        <f>H274</f>
        <v>835590.8</v>
      </c>
      <c r="I273" s="84">
        <f>I274</f>
        <v>852801.6</v>
      </c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</row>
    <row r="274" spans="1:23" s="20" customFormat="1" ht="18" customHeight="1">
      <c r="A274" s="118" t="s">
        <v>836</v>
      </c>
      <c r="B274" s="89">
        <v>805</v>
      </c>
      <c r="C274" s="69" t="s">
        <v>508</v>
      </c>
      <c r="D274" s="69" t="s">
        <v>790</v>
      </c>
      <c r="E274" s="69" t="s">
        <v>438</v>
      </c>
      <c r="F274" s="69" t="s">
        <v>545</v>
      </c>
      <c r="G274" s="84">
        <f>'прил.16'!G289+'прил.16'!G887</f>
        <v>842043.1000000001</v>
      </c>
      <c r="H274" s="84">
        <f>'прил.16'!H289+'прил.16'!H887</f>
        <v>835590.8</v>
      </c>
      <c r="I274" s="84">
        <f>'прил.16'!I289+'прил.16'!I887</f>
        <v>852801.6</v>
      </c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</row>
    <row r="275" spans="1:23" ht="16.5" customHeight="1">
      <c r="A275" s="134" t="s">
        <v>609</v>
      </c>
      <c r="B275" s="89"/>
      <c r="C275" s="69" t="s">
        <v>508</v>
      </c>
      <c r="D275" s="69" t="s">
        <v>790</v>
      </c>
      <c r="E275" s="69" t="s">
        <v>15</v>
      </c>
      <c r="F275" s="69"/>
      <c r="G275" s="84">
        <f>G277</f>
        <v>2744.6</v>
      </c>
      <c r="H275" s="84">
        <f>H277</f>
        <v>2607.4</v>
      </c>
      <c r="I275" s="84">
        <f>I277</f>
        <v>2607.4</v>
      </c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</row>
    <row r="276" spans="1:23" ht="16.5" customHeight="1">
      <c r="A276" s="118" t="s">
        <v>640</v>
      </c>
      <c r="B276" s="89"/>
      <c r="C276" s="69" t="s">
        <v>508</v>
      </c>
      <c r="D276" s="69" t="s">
        <v>790</v>
      </c>
      <c r="E276" s="69" t="s">
        <v>18</v>
      </c>
      <c r="F276" s="69"/>
      <c r="G276" s="84">
        <f aca="true" t="shared" si="27" ref="G276:I277">G277</f>
        <v>2744.6</v>
      </c>
      <c r="H276" s="84">
        <f t="shared" si="27"/>
        <v>2607.4</v>
      </c>
      <c r="I276" s="84">
        <f t="shared" si="27"/>
        <v>2607.4</v>
      </c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</row>
    <row r="277" spans="1:23" ht="68.25" customHeight="1">
      <c r="A277" s="125" t="s">
        <v>314</v>
      </c>
      <c r="B277" s="89"/>
      <c r="C277" s="69" t="s">
        <v>508</v>
      </c>
      <c r="D277" s="69" t="s">
        <v>790</v>
      </c>
      <c r="E277" s="69" t="s">
        <v>458</v>
      </c>
      <c r="F277" s="69"/>
      <c r="G277" s="84">
        <f t="shared" si="27"/>
        <v>2744.6</v>
      </c>
      <c r="H277" s="84">
        <f t="shared" si="27"/>
        <v>2607.4</v>
      </c>
      <c r="I277" s="84">
        <f t="shared" si="27"/>
        <v>2607.4</v>
      </c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</row>
    <row r="278" spans="1:23" ht="16.5" customHeight="1">
      <c r="A278" s="118" t="s">
        <v>836</v>
      </c>
      <c r="B278" s="89"/>
      <c r="C278" s="69" t="s">
        <v>508</v>
      </c>
      <c r="D278" s="69" t="s">
        <v>790</v>
      </c>
      <c r="E278" s="69" t="s">
        <v>458</v>
      </c>
      <c r="F278" s="69" t="s">
        <v>545</v>
      </c>
      <c r="G278" s="84">
        <f>'прил.16'!G293</f>
        <v>2744.6</v>
      </c>
      <c r="H278" s="84">
        <f>'прил.16'!H293</f>
        <v>2607.4</v>
      </c>
      <c r="I278" s="84">
        <f>'прил.16'!I293</f>
        <v>2607.4</v>
      </c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</row>
    <row r="279" spans="1:23" s="19" customFormat="1" ht="17.25" customHeight="1">
      <c r="A279" s="116" t="s">
        <v>641</v>
      </c>
      <c r="B279" s="89">
        <v>805</v>
      </c>
      <c r="C279" s="69" t="s">
        <v>508</v>
      </c>
      <c r="D279" s="69" t="s">
        <v>791</v>
      </c>
      <c r="E279" s="69"/>
      <c r="F279" s="69"/>
      <c r="G279" s="84">
        <f>G280+G288+G295+G298+G307+G301</f>
        <v>1200932.1</v>
      </c>
      <c r="H279" s="84">
        <f>H280+H288+H295+H298+H307+H301</f>
        <v>1096402.5</v>
      </c>
      <c r="I279" s="84">
        <f>I280+I288+I295+I298+I307+I301</f>
        <v>1109789.6</v>
      </c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</row>
    <row r="280" spans="1:23" s="20" customFormat="1" ht="17.25" customHeight="1">
      <c r="A280" s="116" t="s">
        <v>642</v>
      </c>
      <c r="B280" s="89">
        <v>805</v>
      </c>
      <c r="C280" s="69" t="s">
        <v>508</v>
      </c>
      <c r="D280" s="69" t="s">
        <v>791</v>
      </c>
      <c r="E280" s="69" t="s">
        <v>439</v>
      </c>
      <c r="F280" s="69"/>
      <c r="G280" s="84">
        <f>G281+G283</f>
        <v>696026.9</v>
      </c>
      <c r="H280" s="84">
        <f>H281+H283</f>
        <v>647008.3</v>
      </c>
      <c r="I280" s="84">
        <f>I281+I283</f>
        <v>658032.6000000001</v>
      </c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</row>
    <row r="281" spans="1:23" ht="18" customHeight="1">
      <c r="A281" s="116" t="s">
        <v>564</v>
      </c>
      <c r="B281" s="89">
        <v>805</v>
      </c>
      <c r="C281" s="69" t="s">
        <v>508</v>
      </c>
      <c r="D281" s="69" t="s">
        <v>791</v>
      </c>
      <c r="E281" s="69" t="s">
        <v>477</v>
      </c>
      <c r="F281" s="98"/>
      <c r="G281" s="84">
        <f>G282</f>
        <v>26728.8</v>
      </c>
      <c r="H281" s="84">
        <f>H282</f>
        <v>26728.8</v>
      </c>
      <c r="I281" s="84">
        <f>I282</f>
        <v>26728.8</v>
      </c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</row>
    <row r="282" spans="1:23" ht="16.5">
      <c r="A282" s="118" t="s">
        <v>836</v>
      </c>
      <c r="B282" s="89">
        <v>805</v>
      </c>
      <c r="C282" s="69" t="s">
        <v>508</v>
      </c>
      <c r="D282" s="69" t="s">
        <v>791</v>
      </c>
      <c r="E282" s="69" t="s">
        <v>477</v>
      </c>
      <c r="F282" s="69" t="s">
        <v>545</v>
      </c>
      <c r="G282" s="84">
        <f>'прил.16'!G297</f>
        <v>26728.8</v>
      </c>
      <c r="H282" s="84">
        <f>'прил.16'!H297</f>
        <v>26728.8</v>
      </c>
      <c r="I282" s="84">
        <f>'прил.16'!I297</f>
        <v>26728.8</v>
      </c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</row>
    <row r="283" spans="1:23" ht="20.25" customHeight="1">
      <c r="A283" s="116" t="s">
        <v>540</v>
      </c>
      <c r="B283" s="89">
        <v>805</v>
      </c>
      <c r="C283" s="69" t="s">
        <v>508</v>
      </c>
      <c r="D283" s="69" t="s">
        <v>791</v>
      </c>
      <c r="E283" s="69" t="s">
        <v>440</v>
      </c>
      <c r="F283" s="69"/>
      <c r="G283" s="84">
        <f>SUM(G284:G287)</f>
        <v>669298.1</v>
      </c>
      <c r="H283" s="84">
        <f>SUM(H284:H287)</f>
        <v>620279.5</v>
      </c>
      <c r="I283" s="84">
        <f>SUM(I284:I287)</f>
        <v>631303.8</v>
      </c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</row>
    <row r="284" spans="1:23" ht="16.5" customHeight="1">
      <c r="A284" s="118" t="s">
        <v>836</v>
      </c>
      <c r="B284" s="89">
        <v>805</v>
      </c>
      <c r="C284" s="69" t="s">
        <v>508</v>
      </c>
      <c r="D284" s="69" t="s">
        <v>791</v>
      </c>
      <c r="E284" s="69" t="s">
        <v>440</v>
      </c>
      <c r="F284" s="69" t="s">
        <v>545</v>
      </c>
      <c r="G284" s="84">
        <f>'прил.16'!G299+'прил.16'!G891</f>
        <v>139520.5</v>
      </c>
      <c r="H284" s="84">
        <f>'прил.16'!H299+'прил.16'!H891</f>
        <v>116990.8</v>
      </c>
      <c r="I284" s="84">
        <f>'прил.16'!I299+'прил.16'!I891</f>
        <v>128015.1</v>
      </c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</row>
    <row r="285" spans="1:23" ht="16.5" customHeight="1">
      <c r="A285" s="125" t="s">
        <v>718</v>
      </c>
      <c r="B285" s="89"/>
      <c r="C285" s="69" t="s">
        <v>508</v>
      </c>
      <c r="D285" s="69" t="s">
        <v>791</v>
      </c>
      <c r="E285" s="69" t="s">
        <v>440</v>
      </c>
      <c r="F285" s="69" t="s">
        <v>450</v>
      </c>
      <c r="G285" s="84">
        <f>'прил.16'!G300</f>
        <v>529777.6</v>
      </c>
      <c r="H285" s="84">
        <f>'прил.16'!H300</f>
        <v>503288.7</v>
      </c>
      <c r="I285" s="84">
        <f>'прил.16'!I300</f>
        <v>503288.7</v>
      </c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</row>
    <row r="286" spans="1:23" ht="30.75" customHeight="1" hidden="1">
      <c r="A286" s="135" t="s">
        <v>552</v>
      </c>
      <c r="B286" s="89"/>
      <c r="C286" s="69" t="s">
        <v>508</v>
      </c>
      <c r="D286" s="69" t="s">
        <v>791</v>
      </c>
      <c r="E286" s="69" t="s">
        <v>440</v>
      </c>
      <c r="F286" s="69" t="s">
        <v>551</v>
      </c>
      <c r="G286" s="84">
        <f>'прил.16'!G301</f>
        <v>0</v>
      </c>
      <c r="H286" s="84">
        <f>'прил.16'!H301</f>
        <v>0</v>
      </c>
      <c r="I286" s="84">
        <f>'прил.16'!I301</f>
        <v>0</v>
      </c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</row>
    <row r="287" spans="1:23" ht="16.5" customHeight="1" hidden="1">
      <c r="A287" s="136" t="s">
        <v>558</v>
      </c>
      <c r="B287" s="89"/>
      <c r="C287" s="69" t="s">
        <v>508</v>
      </c>
      <c r="D287" s="69" t="s">
        <v>791</v>
      </c>
      <c r="E287" s="69" t="s">
        <v>440</v>
      </c>
      <c r="F287" s="69" t="s">
        <v>559</v>
      </c>
      <c r="G287" s="84">
        <f>'прил.16'!G302</f>
        <v>0</v>
      </c>
      <c r="H287" s="84">
        <f>'прил.16'!H302</f>
        <v>0</v>
      </c>
      <c r="I287" s="84">
        <f>'прил.16'!I302</f>
        <v>0</v>
      </c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</row>
    <row r="288" spans="1:23" ht="19.5" customHeight="1">
      <c r="A288" s="116" t="s">
        <v>139</v>
      </c>
      <c r="B288" s="89">
        <v>805</v>
      </c>
      <c r="C288" s="69" t="s">
        <v>508</v>
      </c>
      <c r="D288" s="69" t="s">
        <v>791</v>
      </c>
      <c r="E288" s="69" t="s">
        <v>442</v>
      </c>
      <c r="F288" s="69"/>
      <c r="G288" s="84">
        <f>G289+G291</f>
        <v>243148.30000000002</v>
      </c>
      <c r="H288" s="84">
        <f>H289+H291</f>
        <v>202014.7</v>
      </c>
      <c r="I288" s="84">
        <f>I289+I291</f>
        <v>204377.50000000003</v>
      </c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</row>
    <row r="289" spans="1:23" ht="16.5" customHeight="1">
      <c r="A289" s="116" t="s">
        <v>564</v>
      </c>
      <c r="B289" s="89">
        <v>805</v>
      </c>
      <c r="C289" s="69" t="s">
        <v>508</v>
      </c>
      <c r="D289" s="69" t="s">
        <v>791</v>
      </c>
      <c r="E289" s="69" t="s">
        <v>478</v>
      </c>
      <c r="F289" s="69"/>
      <c r="G289" s="84">
        <f>G290</f>
        <v>2699.6</v>
      </c>
      <c r="H289" s="84">
        <f>H290</f>
        <v>2699.6</v>
      </c>
      <c r="I289" s="84">
        <f>I290</f>
        <v>2699.6</v>
      </c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</row>
    <row r="290" spans="1:23" ht="17.25" customHeight="1">
      <c r="A290" s="118" t="s">
        <v>836</v>
      </c>
      <c r="B290" s="89" t="s">
        <v>259</v>
      </c>
      <c r="C290" s="69" t="s">
        <v>508</v>
      </c>
      <c r="D290" s="69" t="s">
        <v>791</v>
      </c>
      <c r="E290" s="69" t="s">
        <v>478</v>
      </c>
      <c r="F290" s="69" t="s">
        <v>545</v>
      </c>
      <c r="G290" s="84">
        <f>'прил.16'!G305+'прил.16'!G563+'прил.16'!G654</f>
        <v>2699.6</v>
      </c>
      <c r="H290" s="84">
        <f>'прил.16'!H305+'прил.16'!H563+'прил.16'!H654</f>
        <v>2699.6</v>
      </c>
      <c r="I290" s="84">
        <f>'прил.16'!I305+'прил.16'!I563+'прил.16'!I654</f>
        <v>2699.6</v>
      </c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</row>
    <row r="291" spans="1:23" ht="16.5" customHeight="1">
      <c r="A291" s="116" t="s">
        <v>540</v>
      </c>
      <c r="B291" s="89">
        <v>805</v>
      </c>
      <c r="C291" s="69" t="s">
        <v>508</v>
      </c>
      <c r="D291" s="69" t="s">
        <v>791</v>
      </c>
      <c r="E291" s="69" t="s">
        <v>443</v>
      </c>
      <c r="F291" s="69"/>
      <c r="G291" s="84">
        <f>G292+G293+G294</f>
        <v>240448.7</v>
      </c>
      <c r="H291" s="84">
        <f>H292+H293+H294</f>
        <v>199315.1</v>
      </c>
      <c r="I291" s="84">
        <f>I292+I293+I294</f>
        <v>201677.90000000002</v>
      </c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</row>
    <row r="292" spans="1:23" ht="17.25" customHeight="1">
      <c r="A292" s="118" t="s">
        <v>836</v>
      </c>
      <c r="B292" s="89" t="s">
        <v>258</v>
      </c>
      <c r="C292" s="69" t="s">
        <v>508</v>
      </c>
      <c r="D292" s="69" t="s">
        <v>791</v>
      </c>
      <c r="E292" s="69" t="s">
        <v>443</v>
      </c>
      <c r="F292" s="69" t="s">
        <v>545</v>
      </c>
      <c r="G292" s="84">
        <f>'прил.16'!G307+'прил.16'!G565+'прил.16'!G656+'прил.16'!G894</f>
        <v>240448.7</v>
      </c>
      <c r="H292" s="84">
        <f>'прил.16'!H307+'прил.16'!H565+'прил.16'!H656+'прил.16'!H894</f>
        <v>199315.1</v>
      </c>
      <c r="I292" s="84">
        <f>'прил.16'!I307+'прил.16'!I565+'прил.16'!I656+'прил.16'!I894</f>
        <v>201677.90000000002</v>
      </c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</row>
    <row r="293" spans="1:23" ht="33.75" customHeight="1" hidden="1">
      <c r="A293" s="135" t="s">
        <v>552</v>
      </c>
      <c r="B293" s="89"/>
      <c r="C293" s="69" t="s">
        <v>508</v>
      </c>
      <c r="D293" s="69" t="s">
        <v>791</v>
      </c>
      <c r="E293" s="69" t="s">
        <v>443</v>
      </c>
      <c r="F293" s="69" t="s">
        <v>551</v>
      </c>
      <c r="G293" s="84">
        <f>'прил.16'!G657</f>
        <v>0</v>
      </c>
      <c r="H293" s="84">
        <f>'прил.16'!H657</f>
        <v>0</v>
      </c>
      <c r="I293" s="84">
        <f>'прил.16'!I657</f>
        <v>0</v>
      </c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</row>
    <row r="294" spans="1:23" ht="17.25" customHeight="1" hidden="1">
      <c r="A294" s="136" t="s">
        <v>558</v>
      </c>
      <c r="B294" s="89"/>
      <c r="C294" s="69" t="s">
        <v>508</v>
      </c>
      <c r="D294" s="69" t="s">
        <v>791</v>
      </c>
      <c r="E294" s="69" t="s">
        <v>443</v>
      </c>
      <c r="F294" s="69" t="s">
        <v>559</v>
      </c>
      <c r="G294" s="84">
        <f>'прил.16'!G658</f>
        <v>0</v>
      </c>
      <c r="H294" s="84">
        <f>'прил.16'!H658</f>
        <v>0</v>
      </c>
      <c r="I294" s="84">
        <f>'прил.16'!I658</f>
        <v>0</v>
      </c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</row>
    <row r="295" spans="1:23" ht="17.25" customHeight="1">
      <c r="A295" s="116" t="s">
        <v>643</v>
      </c>
      <c r="B295" s="89">
        <v>805</v>
      </c>
      <c r="C295" s="69" t="s">
        <v>508</v>
      </c>
      <c r="D295" s="69" t="s">
        <v>791</v>
      </c>
      <c r="E295" s="69" t="s">
        <v>444</v>
      </c>
      <c r="F295" s="69"/>
      <c r="G295" s="99">
        <f aca="true" t="shared" si="28" ref="G295:I296">G296</f>
        <v>33.6</v>
      </c>
      <c r="H295" s="99">
        <f t="shared" si="28"/>
        <v>33.6</v>
      </c>
      <c r="I295" s="99">
        <f t="shared" si="28"/>
        <v>33.6</v>
      </c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</row>
    <row r="296" spans="1:23" ht="18" customHeight="1">
      <c r="A296" s="116" t="s">
        <v>540</v>
      </c>
      <c r="B296" s="89">
        <v>805</v>
      </c>
      <c r="C296" s="69" t="s">
        <v>508</v>
      </c>
      <c r="D296" s="69" t="s">
        <v>791</v>
      </c>
      <c r="E296" s="69" t="s">
        <v>445</v>
      </c>
      <c r="F296" s="69"/>
      <c r="G296" s="99">
        <f t="shared" si="28"/>
        <v>33.6</v>
      </c>
      <c r="H296" s="99">
        <f t="shared" si="28"/>
        <v>33.6</v>
      </c>
      <c r="I296" s="99">
        <f t="shared" si="28"/>
        <v>33.6</v>
      </c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</row>
    <row r="297" spans="1:23" ht="19.5" customHeight="1">
      <c r="A297" s="118" t="s">
        <v>836</v>
      </c>
      <c r="B297" s="89">
        <v>805</v>
      </c>
      <c r="C297" s="69" t="s">
        <v>508</v>
      </c>
      <c r="D297" s="69" t="s">
        <v>791</v>
      </c>
      <c r="E297" s="69" t="s">
        <v>445</v>
      </c>
      <c r="F297" s="69" t="s">
        <v>545</v>
      </c>
      <c r="G297" s="84">
        <f>'прил.16'!G310</f>
        <v>33.6</v>
      </c>
      <c r="H297" s="84">
        <f>'прил.16'!H310</f>
        <v>33.6</v>
      </c>
      <c r="I297" s="84">
        <f>'прил.16'!I310</f>
        <v>33.6</v>
      </c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</row>
    <row r="298" spans="1:23" ht="18.75" customHeight="1">
      <c r="A298" s="116" t="s">
        <v>765</v>
      </c>
      <c r="B298" s="89">
        <v>805</v>
      </c>
      <c r="C298" s="69" t="s">
        <v>508</v>
      </c>
      <c r="D298" s="69" t="s">
        <v>791</v>
      </c>
      <c r="E298" s="69" t="s">
        <v>446</v>
      </c>
      <c r="F298" s="69"/>
      <c r="G298" s="84">
        <f aca="true" t="shared" si="29" ref="G298:I299">G299</f>
        <v>33.6</v>
      </c>
      <c r="H298" s="84">
        <f t="shared" si="29"/>
        <v>33.6</v>
      </c>
      <c r="I298" s="84">
        <f t="shared" si="29"/>
        <v>33.6</v>
      </c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</row>
    <row r="299" spans="1:23" ht="18.75" customHeight="1">
      <c r="A299" s="116" t="s">
        <v>540</v>
      </c>
      <c r="B299" s="89">
        <v>805</v>
      </c>
      <c r="C299" s="69" t="s">
        <v>508</v>
      </c>
      <c r="D299" s="69" t="s">
        <v>791</v>
      </c>
      <c r="E299" s="69" t="s">
        <v>447</v>
      </c>
      <c r="F299" s="69"/>
      <c r="G299" s="84">
        <f t="shared" si="29"/>
        <v>33.6</v>
      </c>
      <c r="H299" s="84">
        <f t="shared" si="29"/>
        <v>33.6</v>
      </c>
      <c r="I299" s="84">
        <f t="shared" si="29"/>
        <v>33.6</v>
      </c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</row>
    <row r="300" spans="1:23" ht="15.75" customHeight="1">
      <c r="A300" s="118" t="s">
        <v>836</v>
      </c>
      <c r="B300" s="89">
        <v>805</v>
      </c>
      <c r="C300" s="69" t="s">
        <v>508</v>
      </c>
      <c r="D300" s="69" t="s">
        <v>791</v>
      </c>
      <c r="E300" s="69" t="s">
        <v>447</v>
      </c>
      <c r="F300" s="69" t="s">
        <v>545</v>
      </c>
      <c r="G300" s="84">
        <f>'прил.16'!G313</f>
        <v>33.6</v>
      </c>
      <c r="H300" s="84">
        <f>'прил.16'!H313</f>
        <v>33.6</v>
      </c>
      <c r="I300" s="84">
        <f>'прил.16'!I313</f>
        <v>33.6</v>
      </c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</row>
    <row r="301" spans="1:23" ht="15.75" customHeight="1">
      <c r="A301" s="118" t="s">
        <v>644</v>
      </c>
      <c r="B301" s="89"/>
      <c r="C301" s="69" t="s">
        <v>508</v>
      </c>
      <c r="D301" s="69" t="s">
        <v>791</v>
      </c>
      <c r="E301" s="69" t="s">
        <v>454</v>
      </c>
      <c r="F301" s="69"/>
      <c r="G301" s="84">
        <f>G302</f>
        <v>67068</v>
      </c>
      <c r="H301" s="84">
        <f>H302</f>
        <v>67068</v>
      </c>
      <c r="I301" s="84">
        <f>I302</f>
        <v>67068</v>
      </c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</row>
    <row r="302" spans="1:23" ht="35.25" customHeight="1">
      <c r="A302" s="118" t="s">
        <v>645</v>
      </c>
      <c r="B302" s="89"/>
      <c r="C302" s="69" t="s">
        <v>508</v>
      </c>
      <c r="D302" s="69" t="s">
        <v>791</v>
      </c>
      <c r="E302" s="69" t="s">
        <v>453</v>
      </c>
      <c r="F302" s="69"/>
      <c r="G302" s="84">
        <f>G303+G305</f>
        <v>67068</v>
      </c>
      <c r="H302" s="84">
        <f>H303+H305</f>
        <v>67068</v>
      </c>
      <c r="I302" s="84">
        <f>I303+I305</f>
        <v>67068</v>
      </c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</row>
    <row r="303" spans="1:23" ht="16.5" customHeight="1">
      <c r="A303" s="125" t="s">
        <v>575</v>
      </c>
      <c r="B303" s="89"/>
      <c r="C303" s="69" t="s">
        <v>508</v>
      </c>
      <c r="D303" s="69" t="s">
        <v>791</v>
      </c>
      <c r="E303" s="69" t="s">
        <v>456</v>
      </c>
      <c r="F303" s="69"/>
      <c r="G303" s="84">
        <f>G304</f>
        <v>47937</v>
      </c>
      <c r="H303" s="84">
        <f>H304</f>
        <v>47937</v>
      </c>
      <c r="I303" s="84">
        <f>I304</f>
        <v>47937</v>
      </c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</row>
    <row r="304" spans="1:23" ht="15.75" customHeight="1">
      <c r="A304" s="125" t="s">
        <v>836</v>
      </c>
      <c r="B304" s="89"/>
      <c r="C304" s="69" t="s">
        <v>508</v>
      </c>
      <c r="D304" s="69" t="s">
        <v>791</v>
      </c>
      <c r="E304" s="69" t="s">
        <v>456</v>
      </c>
      <c r="F304" s="69" t="s">
        <v>545</v>
      </c>
      <c r="G304" s="84">
        <f>'прил.16'!G316</f>
        <v>47937</v>
      </c>
      <c r="H304" s="84">
        <f>'прил.16'!H316</f>
        <v>47937</v>
      </c>
      <c r="I304" s="84">
        <f>'прил.16'!I316</f>
        <v>47937</v>
      </c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</row>
    <row r="305" spans="1:23" ht="39.75" customHeight="1">
      <c r="A305" s="125" t="s">
        <v>576</v>
      </c>
      <c r="B305" s="89"/>
      <c r="C305" s="69" t="s">
        <v>508</v>
      </c>
      <c r="D305" s="69" t="s">
        <v>791</v>
      </c>
      <c r="E305" s="69" t="s">
        <v>452</v>
      </c>
      <c r="F305" s="69"/>
      <c r="G305" s="84">
        <f>G306</f>
        <v>19131</v>
      </c>
      <c r="H305" s="84">
        <f>H306</f>
        <v>19131</v>
      </c>
      <c r="I305" s="84">
        <f>I306</f>
        <v>19131</v>
      </c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</row>
    <row r="306" spans="1:23" ht="15.75" customHeight="1">
      <c r="A306" s="118" t="s">
        <v>836</v>
      </c>
      <c r="B306" s="89"/>
      <c r="C306" s="69" t="s">
        <v>508</v>
      </c>
      <c r="D306" s="69" t="s">
        <v>791</v>
      </c>
      <c r="E306" s="69" t="s">
        <v>452</v>
      </c>
      <c r="F306" s="69" t="s">
        <v>545</v>
      </c>
      <c r="G306" s="84">
        <f>'прил.16'!G319</f>
        <v>19131</v>
      </c>
      <c r="H306" s="84">
        <f>'прил.16'!H319</f>
        <v>19131</v>
      </c>
      <c r="I306" s="84">
        <f>'прил.16'!I319</f>
        <v>19131</v>
      </c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</row>
    <row r="307" spans="1:23" ht="19.5" customHeight="1">
      <c r="A307" s="118" t="s">
        <v>609</v>
      </c>
      <c r="B307" s="89"/>
      <c r="C307" s="69" t="s">
        <v>508</v>
      </c>
      <c r="D307" s="69" t="s">
        <v>791</v>
      </c>
      <c r="E307" s="69" t="s">
        <v>15</v>
      </c>
      <c r="F307" s="69"/>
      <c r="G307" s="84">
        <f>G308</f>
        <v>194621.7</v>
      </c>
      <c r="H307" s="84">
        <f>H308</f>
        <v>180244.30000000002</v>
      </c>
      <c r="I307" s="84">
        <f>I308</f>
        <v>180244.30000000002</v>
      </c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</row>
    <row r="308" spans="1:23" ht="22.5" customHeight="1">
      <c r="A308" s="118" t="s">
        <v>640</v>
      </c>
      <c r="B308" s="89"/>
      <c r="C308" s="69" t="s">
        <v>508</v>
      </c>
      <c r="D308" s="69" t="s">
        <v>791</v>
      </c>
      <c r="E308" s="69" t="s">
        <v>18</v>
      </c>
      <c r="F308" s="69"/>
      <c r="G308" s="84">
        <f>G309+G313+G311</f>
        <v>194621.7</v>
      </c>
      <c r="H308" s="84">
        <f>H309+H313+H311</f>
        <v>180244.30000000002</v>
      </c>
      <c r="I308" s="84">
        <f>I309+I313+I311</f>
        <v>180244.30000000002</v>
      </c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</row>
    <row r="309" spans="1:23" ht="132" customHeight="1">
      <c r="A309" s="118" t="s">
        <v>707</v>
      </c>
      <c r="B309" s="89"/>
      <c r="C309" s="69" t="s">
        <v>508</v>
      </c>
      <c r="D309" s="69" t="s">
        <v>791</v>
      </c>
      <c r="E309" s="69" t="s">
        <v>20</v>
      </c>
      <c r="F309" s="69"/>
      <c r="G309" s="84">
        <f>G310</f>
        <v>123855.7</v>
      </c>
      <c r="H309" s="84">
        <f>H310</f>
        <v>117659.3</v>
      </c>
      <c r="I309" s="84">
        <f>I310</f>
        <v>117659.3</v>
      </c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</row>
    <row r="310" spans="1:23" ht="19.5" customHeight="1">
      <c r="A310" s="118" t="s">
        <v>836</v>
      </c>
      <c r="B310" s="89"/>
      <c r="C310" s="69" t="s">
        <v>508</v>
      </c>
      <c r="D310" s="69" t="s">
        <v>791</v>
      </c>
      <c r="E310" s="69" t="s">
        <v>20</v>
      </c>
      <c r="F310" s="69" t="s">
        <v>545</v>
      </c>
      <c r="G310" s="84">
        <f>'прил.16'!G323</f>
        <v>123855.7</v>
      </c>
      <c r="H310" s="84">
        <f>'прил.16'!H323</f>
        <v>117659.3</v>
      </c>
      <c r="I310" s="84">
        <f>'прил.16'!I323</f>
        <v>117659.3</v>
      </c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</row>
    <row r="311" spans="1:23" ht="103.5" customHeight="1">
      <c r="A311" s="137" t="s">
        <v>316</v>
      </c>
      <c r="B311" s="89"/>
      <c r="C311" s="69" t="s">
        <v>508</v>
      </c>
      <c r="D311" s="69" t="s">
        <v>791</v>
      </c>
      <c r="E311" s="69" t="s">
        <v>459</v>
      </c>
      <c r="F311" s="69"/>
      <c r="G311" s="84">
        <f>G312</f>
        <v>70409.6</v>
      </c>
      <c r="H311" s="84">
        <f>H312</f>
        <v>62246.4</v>
      </c>
      <c r="I311" s="84">
        <f>I312</f>
        <v>62246.4</v>
      </c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</row>
    <row r="312" spans="1:23" ht="19.5" customHeight="1">
      <c r="A312" s="118" t="s">
        <v>836</v>
      </c>
      <c r="B312" s="89"/>
      <c r="C312" s="69" t="s">
        <v>508</v>
      </c>
      <c r="D312" s="69" t="s">
        <v>791</v>
      </c>
      <c r="E312" s="69" t="s">
        <v>459</v>
      </c>
      <c r="F312" s="69" t="s">
        <v>545</v>
      </c>
      <c r="G312" s="84">
        <f>'прил.16'!G325</f>
        <v>70409.6</v>
      </c>
      <c r="H312" s="84">
        <f>'прил.16'!H325</f>
        <v>62246.4</v>
      </c>
      <c r="I312" s="84">
        <f>'прил.16'!I325</f>
        <v>62246.4</v>
      </c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</row>
    <row r="313" spans="1:23" ht="55.5" customHeight="1">
      <c r="A313" s="138" t="s">
        <v>317</v>
      </c>
      <c r="B313" s="89"/>
      <c r="C313" s="69" t="s">
        <v>508</v>
      </c>
      <c r="D313" s="69" t="s">
        <v>791</v>
      </c>
      <c r="E313" s="69" t="s">
        <v>451</v>
      </c>
      <c r="F313" s="69"/>
      <c r="G313" s="84">
        <f>G314</f>
        <v>356.4</v>
      </c>
      <c r="H313" s="84">
        <f>H314</f>
        <v>338.6</v>
      </c>
      <c r="I313" s="84">
        <f>I314</f>
        <v>338.6</v>
      </c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</row>
    <row r="314" spans="1:23" ht="19.5" customHeight="1">
      <c r="A314" s="118" t="s">
        <v>836</v>
      </c>
      <c r="B314" s="89"/>
      <c r="C314" s="69" t="s">
        <v>508</v>
      </c>
      <c r="D314" s="69" t="s">
        <v>791</v>
      </c>
      <c r="E314" s="69" t="s">
        <v>451</v>
      </c>
      <c r="F314" s="69" t="s">
        <v>545</v>
      </c>
      <c r="G314" s="84">
        <f>'прил.16'!G327</f>
        <v>356.4</v>
      </c>
      <c r="H314" s="84">
        <f>'прил.16'!H327</f>
        <v>338.6</v>
      </c>
      <c r="I314" s="84">
        <f>'прил.16'!I327</f>
        <v>338.6</v>
      </c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</row>
    <row r="315" spans="1:23" ht="18" customHeight="1" hidden="1">
      <c r="A315" s="118" t="s">
        <v>24</v>
      </c>
      <c r="B315" s="89"/>
      <c r="C315" s="69" t="s">
        <v>508</v>
      </c>
      <c r="D315" s="69" t="s">
        <v>792</v>
      </c>
      <c r="E315" s="69"/>
      <c r="F315" s="69"/>
      <c r="G315" s="84">
        <f>G316</f>
        <v>0</v>
      </c>
      <c r="H315" s="84">
        <f aca="true" t="shared" si="30" ref="H315:I317">H316</f>
        <v>0</v>
      </c>
      <c r="I315" s="84">
        <f t="shared" si="30"/>
        <v>0</v>
      </c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</row>
    <row r="316" spans="1:23" ht="17.25" customHeight="1" hidden="1">
      <c r="A316" s="118" t="s">
        <v>25</v>
      </c>
      <c r="B316" s="89"/>
      <c r="C316" s="69" t="s">
        <v>508</v>
      </c>
      <c r="D316" s="69" t="s">
        <v>792</v>
      </c>
      <c r="E316" s="69" t="s">
        <v>22</v>
      </c>
      <c r="F316" s="69"/>
      <c r="G316" s="84">
        <f>G317</f>
        <v>0</v>
      </c>
      <c r="H316" s="84">
        <f t="shared" si="30"/>
        <v>0</v>
      </c>
      <c r="I316" s="84">
        <f t="shared" si="30"/>
        <v>0</v>
      </c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</row>
    <row r="317" spans="1:23" ht="15.75" customHeight="1" hidden="1">
      <c r="A317" s="116" t="s">
        <v>389</v>
      </c>
      <c r="B317" s="89"/>
      <c r="C317" s="69" t="s">
        <v>508</v>
      </c>
      <c r="D317" s="69" t="s">
        <v>792</v>
      </c>
      <c r="E317" s="69" t="s">
        <v>23</v>
      </c>
      <c r="F317" s="69"/>
      <c r="G317" s="84">
        <f>G318</f>
        <v>0</v>
      </c>
      <c r="H317" s="84">
        <f t="shared" si="30"/>
        <v>0</v>
      </c>
      <c r="I317" s="84">
        <f t="shared" si="30"/>
        <v>0</v>
      </c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</row>
    <row r="318" spans="1:23" ht="15.75" customHeight="1" hidden="1">
      <c r="A318" s="118" t="s">
        <v>836</v>
      </c>
      <c r="B318" s="89"/>
      <c r="C318" s="69" t="s">
        <v>508</v>
      </c>
      <c r="D318" s="69" t="s">
        <v>792</v>
      </c>
      <c r="E318" s="69" t="s">
        <v>23</v>
      </c>
      <c r="F318" s="69" t="s">
        <v>545</v>
      </c>
      <c r="G318" s="84">
        <f>'прил.16'!G331</f>
        <v>0</v>
      </c>
      <c r="H318" s="84">
        <f>'прил.16'!H331</f>
        <v>0</v>
      </c>
      <c r="I318" s="84">
        <f>'прил.16'!I331</f>
        <v>0</v>
      </c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</row>
    <row r="319" spans="1:23" ht="21" customHeight="1" hidden="1">
      <c r="A319" s="116" t="s">
        <v>546</v>
      </c>
      <c r="B319" s="69" t="s">
        <v>837</v>
      </c>
      <c r="C319" s="69" t="s">
        <v>508</v>
      </c>
      <c r="D319" s="69" t="s">
        <v>42</v>
      </c>
      <c r="E319" s="69"/>
      <c r="F319" s="69"/>
      <c r="G319" s="84">
        <f>G320</f>
        <v>0</v>
      </c>
      <c r="H319" s="84">
        <f>H320</f>
        <v>0</v>
      </c>
      <c r="I319" s="84">
        <f>I320</f>
        <v>0</v>
      </c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</row>
    <row r="320" spans="1:23" ht="20.25" customHeight="1" hidden="1">
      <c r="A320" s="116" t="s">
        <v>528</v>
      </c>
      <c r="B320" s="89">
        <v>805</v>
      </c>
      <c r="C320" s="69" t="s">
        <v>508</v>
      </c>
      <c r="D320" s="69" t="s">
        <v>42</v>
      </c>
      <c r="E320" s="69" t="s">
        <v>527</v>
      </c>
      <c r="F320" s="69"/>
      <c r="G320" s="84">
        <f>G321+G323</f>
        <v>0</v>
      </c>
      <c r="H320" s="84">
        <f>H321+H323</f>
        <v>0</v>
      </c>
      <c r="I320" s="84">
        <f>I321+I323</f>
        <v>0</v>
      </c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</row>
    <row r="321" spans="1:23" ht="18.75" customHeight="1" hidden="1">
      <c r="A321" s="116" t="s">
        <v>475</v>
      </c>
      <c r="B321" s="89">
        <v>805</v>
      </c>
      <c r="C321" s="69" t="s">
        <v>508</v>
      </c>
      <c r="D321" s="69" t="s">
        <v>42</v>
      </c>
      <c r="E321" s="69" t="s">
        <v>530</v>
      </c>
      <c r="F321" s="69"/>
      <c r="G321" s="84">
        <f>G322</f>
        <v>0</v>
      </c>
      <c r="H321" s="84">
        <f>H322</f>
        <v>0</v>
      </c>
      <c r="I321" s="84">
        <f>I322</f>
        <v>0</v>
      </c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</row>
    <row r="322" spans="1:23" ht="18.75" customHeight="1" hidden="1">
      <c r="A322" s="118" t="s">
        <v>836</v>
      </c>
      <c r="B322" s="89">
        <v>805</v>
      </c>
      <c r="C322" s="69" t="s">
        <v>508</v>
      </c>
      <c r="D322" s="69" t="s">
        <v>42</v>
      </c>
      <c r="E322" s="69" t="s">
        <v>530</v>
      </c>
      <c r="F322" s="69" t="s">
        <v>545</v>
      </c>
      <c r="G322" s="84">
        <f>'прил.16'!G335</f>
        <v>0</v>
      </c>
      <c r="H322" s="84">
        <f>'прил.16'!H335</f>
        <v>0</v>
      </c>
      <c r="I322" s="84">
        <f>'прил.16'!I335</f>
        <v>0</v>
      </c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</row>
    <row r="323" spans="1:23" ht="18.75" customHeight="1" hidden="1">
      <c r="A323" s="116" t="s">
        <v>389</v>
      </c>
      <c r="B323" s="89">
        <v>805</v>
      </c>
      <c r="C323" s="69" t="s">
        <v>508</v>
      </c>
      <c r="D323" s="69" t="s">
        <v>42</v>
      </c>
      <c r="E323" s="69" t="s">
        <v>529</v>
      </c>
      <c r="F323" s="69"/>
      <c r="G323" s="84">
        <f>G324</f>
        <v>0</v>
      </c>
      <c r="H323" s="84">
        <f>H324</f>
        <v>0</v>
      </c>
      <c r="I323" s="84">
        <f>I324</f>
        <v>0</v>
      </c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</row>
    <row r="324" spans="1:23" s="19" customFormat="1" ht="17.25" customHeight="1" hidden="1">
      <c r="A324" s="118" t="s">
        <v>836</v>
      </c>
      <c r="B324" s="89">
        <v>805</v>
      </c>
      <c r="C324" s="69" t="s">
        <v>508</v>
      </c>
      <c r="D324" s="69" t="s">
        <v>42</v>
      </c>
      <c r="E324" s="69" t="s">
        <v>529</v>
      </c>
      <c r="F324" s="69" t="s">
        <v>545</v>
      </c>
      <c r="G324" s="84">
        <f>'прил.16'!G337</f>
        <v>0</v>
      </c>
      <c r="H324" s="84">
        <f>'прил.16'!H337</f>
        <v>0</v>
      </c>
      <c r="I324" s="84">
        <f>'прил.16'!I337</f>
        <v>0</v>
      </c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</row>
    <row r="325" spans="1:23" ht="18.75" customHeight="1">
      <c r="A325" s="116" t="s">
        <v>231</v>
      </c>
      <c r="B325" s="89">
        <v>805</v>
      </c>
      <c r="C325" s="69" t="s">
        <v>508</v>
      </c>
      <c r="D325" s="69" t="s">
        <v>508</v>
      </c>
      <c r="E325" s="69"/>
      <c r="F325" s="69"/>
      <c r="G325" s="84">
        <f>G326+G333+G345+G338+G341</f>
        <v>22776.6</v>
      </c>
      <c r="H325" s="84">
        <f>H326+H333+H345+H338+H341</f>
        <v>13793.800000000001</v>
      </c>
      <c r="I325" s="84">
        <f>I326+I333+I345+I338+I341</f>
        <v>19626.7</v>
      </c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</row>
    <row r="326" spans="1:23" ht="19.5" customHeight="1">
      <c r="A326" s="116" t="s">
        <v>646</v>
      </c>
      <c r="B326" s="89">
        <v>801</v>
      </c>
      <c r="C326" s="69" t="s">
        <v>508</v>
      </c>
      <c r="D326" s="69" t="s">
        <v>508</v>
      </c>
      <c r="E326" s="69" t="s">
        <v>366</v>
      </c>
      <c r="F326" s="69"/>
      <c r="G326" s="84">
        <f>G327+G329+G331</f>
        <v>5685.3</v>
      </c>
      <c r="H326" s="84">
        <f>H327+H329+H331</f>
        <v>5825.200000000001</v>
      </c>
      <c r="I326" s="84">
        <f>I327+I329+I331</f>
        <v>5965.200000000001</v>
      </c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</row>
    <row r="327" spans="1:23" ht="17.25" customHeight="1">
      <c r="A327" s="116" t="s">
        <v>565</v>
      </c>
      <c r="B327" s="89">
        <v>801</v>
      </c>
      <c r="C327" s="69" t="s">
        <v>508</v>
      </c>
      <c r="D327" s="69" t="s">
        <v>508</v>
      </c>
      <c r="E327" s="69" t="s">
        <v>365</v>
      </c>
      <c r="F327" s="69"/>
      <c r="G327" s="84">
        <f>G328</f>
        <v>804.5</v>
      </c>
      <c r="H327" s="84">
        <f>H328</f>
        <v>844.8</v>
      </c>
      <c r="I327" s="84">
        <f>I328</f>
        <v>882.8</v>
      </c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</row>
    <row r="328" spans="1:23" ht="15.75" customHeight="1">
      <c r="A328" s="116" t="s">
        <v>138</v>
      </c>
      <c r="B328" s="89">
        <v>801</v>
      </c>
      <c r="C328" s="69" t="s">
        <v>508</v>
      </c>
      <c r="D328" s="69" t="s">
        <v>508</v>
      </c>
      <c r="E328" s="69" t="s">
        <v>365</v>
      </c>
      <c r="F328" s="69" t="s">
        <v>536</v>
      </c>
      <c r="G328" s="84">
        <f>'прил.16'!G106</f>
        <v>804.5</v>
      </c>
      <c r="H328" s="84">
        <f>'прил.16'!H106</f>
        <v>844.8</v>
      </c>
      <c r="I328" s="84">
        <f>'прил.16'!I106</f>
        <v>882.8</v>
      </c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</row>
    <row r="329" spans="1:23" ht="15.75" customHeight="1">
      <c r="A329" s="116" t="s">
        <v>475</v>
      </c>
      <c r="B329" s="89"/>
      <c r="C329" s="69" t="s">
        <v>508</v>
      </c>
      <c r="D329" s="69" t="s">
        <v>508</v>
      </c>
      <c r="E329" s="69" t="s">
        <v>782</v>
      </c>
      <c r="F329" s="69"/>
      <c r="G329" s="84">
        <f>G330</f>
        <v>192.8</v>
      </c>
      <c r="H329" s="84">
        <f>H330</f>
        <v>192.8</v>
      </c>
      <c r="I329" s="84">
        <f>I330</f>
        <v>192.8</v>
      </c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</row>
    <row r="330" spans="1:23" ht="15.75" customHeight="1">
      <c r="A330" s="116" t="s">
        <v>836</v>
      </c>
      <c r="B330" s="89"/>
      <c r="C330" s="69" t="s">
        <v>508</v>
      </c>
      <c r="D330" s="69" t="s">
        <v>508</v>
      </c>
      <c r="E330" s="69" t="s">
        <v>782</v>
      </c>
      <c r="F330" s="69" t="s">
        <v>545</v>
      </c>
      <c r="G330" s="84">
        <f>'прил.16'!G108</f>
        <v>192.8</v>
      </c>
      <c r="H330" s="84">
        <f>'прил.16'!H108</f>
        <v>192.8</v>
      </c>
      <c r="I330" s="84">
        <f>'прил.16'!I108</f>
        <v>192.8</v>
      </c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</row>
    <row r="331" spans="1:23" ht="15.75" customHeight="1">
      <c r="A331" s="118" t="s">
        <v>540</v>
      </c>
      <c r="B331" s="89"/>
      <c r="C331" s="69" t="s">
        <v>508</v>
      </c>
      <c r="D331" s="69" t="s">
        <v>508</v>
      </c>
      <c r="E331" s="69" t="s">
        <v>781</v>
      </c>
      <c r="F331" s="69"/>
      <c r="G331" s="84">
        <f>G332</f>
        <v>4688</v>
      </c>
      <c r="H331" s="84">
        <f>H332</f>
        <v>4787.6</v>
      </c>
      <c r="I331" s="84">
        <f>I332</f>
        <v>4889.6</v>
      </c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</row>
    <row r="332" spans="1:23" ht="15.75" customHeight="1">
      <c r="A332" s="116" t="s">
        <v>836</v>
      </c>
      <c r="B332" s="89"/>
      <c r="C332" s="69" t="s">
        <v>508</v>
      </c>
      <c r="D332" s="69" t="s">
        <v>508</v>
      </c>
      <c r="E332" s="69" t="s">
        <v>781</v>
      </c>
      <c r="F332" s="69" t="s">
        <v>545</v>
      </c>
      <c r="G332" s="84">
        <f>'прил.16'!G110</f>
        <v>4688</v>
      </c>
      <c r="H332" s="84">
        <f>'прил.16'!H110</f>
        <v>4787.6</v>
      </c>
      <c r="I332" s="84">
        <f>'прил.16'!I110</f>
        <v>4889.6</v>
      </c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</row>
    <row r="333" spans="1:23" ht="18" customHeight="1" hidden="1">
      <c r="A333" s="118" t="s">
        <v>647</v>
      </c>
      <c r="B333" s="89">
        <v>805</v>
      </c>
      <c r="C333" s="69" t="s">
        <v>508</v>
      </c>
      <c r="D333" s="69" t="s">
        <v>508</v>
      </c>
      <c r="E333" s="69" t="s">
        <v>473</v>
      </c>
      <c r="F333" s="69"/>
      <c r="G333" s="84">
        <f>G334</f>
        <v>10000</v>
      </c>
      <c r="H333" s="84">
        <f>H334</f>
        <v>0</v>
      </c>
      <c r="I333" s="84">
        <f>I334</f>
        <v>0</v>
      </c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</row>
    <row r="334" spans="1:23" ht="18.75" customHeight="1" hidden="1">
      <c r="A334" s="116" t="s">
        <v>648</v>
      </c>
      <c r="B334" s="89">
        <v>810</v>
      </c>
      <c r="C334" s="69" t="s">
        <v>508</v>
      </c>
      <c r="D334" s="69" t="s">
        <v>508</v>
      </c>
      <c r="E334" s="69" t="s">
        <v>516</v>
      </c>
      <c r="F334" s="69"/>
      <c r="G334" s="84">
        <f>SUM(G335:G337)</f>
        <v>10000</v>
      </c>
      <c r="H334" s="84">
        <f>SUM(H335:H337)</f>
        <v>0</v>
      </c>
      <c r="I334" s="84">
        <f>SUM(I335:I337)</f>
        <v>0</v>
      </c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</row>
    <row r="335" spans="1:23" ht="16.5" customHeight="1" hidden="1">
      <c r="A335" s="116" t="s">
        <v>649</v>
      </c>
      <c r="B335" s="89">
        <v>810</v>
      </c>
      <c r="C335" s="69" t="s">
        <v>508</v>
      </c>
      <c r="D335" s="69" t="s">
        <v>508</v>
      </c>
      <c r="E335" s="69" t="s">
        <v>516</v>
      </c>
      <c r="F335" s="69" t="s">
        <v>252</v>
      </c>
      <c r="G335" s="84">
        <f>'прил.16'!G726</f>
        <v>10000</v>
      </c>
      <c r="H335" s="84">
        <f>'прил.16'!H726</f>
        <v>0</v>
      </c>
      <c r="I335" s="84">
        <f>'прил.16'!I726</f>
        <v>0</v>
      </c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</row>
    <row r="336" spans="1:23" s="19" customFormat="1" ht="18" customHeight="1" hidden="1">
      <c r="A336" s="121" t="s">
        <v>196</v>
      </c>
      <c r="B336" s="89">
        <v>810</v>
      </c>
      <c r="C336" s="69" t="s">
        <v>508</v>
      </c>
      <c r="D336" s="69" t="s">
        <v>508</v>
      </c>
      <c r="E336" s="69" t="s">
        <v>516</v>
      </c>
      <c r="F336" s="69" t="s">
        <v>195</v>
      </c>
      <c r="G336" s="84">
        <f>'прил.16'!G727</f>
        <v>0</v>
      </c>
      <c r="H336" s="84">
        <f>'прил.16'!H727</f>
        <v>0</v>
      </c>
      <c r="I336" s="84">
        <f>'прил.16'!I727</f>
        <v>0</v>
      </c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</row>
    <row r="337" spans="1:23" s="20" customFormat="1" ht="18" customHeight="1" hidden="1">
      <c r="A337" s="116" t="s">
        <v>537</v>
      </c>
      <c r="B337" s="89">
        <v>810</v>
      </c>
      <c r="C337" s="69" t="s">
        <v>508</v>
      </c>
      <c r="D337" s="69" t="s">
        <v>508</v>
      </c>
      <c r="E337" s="69" t="s">
        <v>516</v>
      </c>
      <c r="F337" s="69" t="s">
        <v>536</v>
      </c>
      <c r="G337" s="84">
        <f>'прил.16'!G340+'прил.16'!G113+'прил.16'!G179+'прил.16'!G239+'прил.16'!G271+'прил.16'!G421+'прил.16'!G537+'прил.16'!G569+'прил.16'!G662+'прил.16'!G662+'прил.16'!G728+'прил.16'!G843+'прил.16'!G854</f>
        <v>0</v>
      </c>
      <c r="H337" s="84">
        <f>'прил.16'!H340+'прил.16'!H113+'прил.16'!H179+'прил.16'!H239+'прил.16'!H271+'прил.16'!H421+'прил.16'!H537+'прил.16'!H569+'прил.16'!H662+'прил.16'!H662+'прил.16'!H728+'прил.16'!H843+'прил.16'!H854</f>
        <v>0</v>
      </c>
      <c r="I337" s="84">
        <f>'прил.16'!I340+'прил.16'!I113+'прил.16'!I179+'прил.16'!I239+'прил.16'!I271+'прил.16'!I421+'прил.16'!I537+'прил.16'!I569+'прил.16'!I662+'прил.16'!I662+'прил.16'!I728+'прил.16'!I843+'прил.16'!I854</f>
        <v>0</v>
      </c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</row>
    <row r="338" spans="1:23" ht="21.75" customHeight="1">
      <c r="A338" s="139" t="s">
        <v>380</v>
      </c>
      <c r="B338" s="89"/>
      <c r="C338" s="69" t="s">
        <v>508</v>
      </c>
      <c r="D338" s="69" t="s">
        <v>508</v>
      </c>
      <c r="E338" s="69" t="s">
        <v>381</v>
      </c>
      <c r="F338" s="69"/>
      <c r="G338" s="84">
        <f aca="true" t="shared" si="31" ref="G338:I339">G339</f>
        <v>0</v>
      </c>
      <c r="H338" s="84">
        <f t="shared" si="31"/>
        <v>907</v>
      </c>
      <c r="I338" s="84">
        <f t="shared" si="31"/>
        <v>6599.9</v>
      </c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</row>
    <row r="339" spans="1:23" ht="51.75" customHeight="1">
      <c r="A339" s="127" t="s">
        <v>679</v>
      </c>
      <c r="B339" s="89"/>
      <c r="C339" s="69" t="s">
        <v>508</v>
      </c>
      <c r="D339" s="69" t="s">
        <v>508</v>
      </c>
      <c r="E339" s="69" t="s">
        <v>17</v>
      </c>
      <c r="F339" s="69"/>
      <c r="G339" s="84">
        <f t="shared" si="31"/>
        <v>0</v>
      </c>
      <c r="H339" s="84">
        <f t="shared" si="31"/>
        <v>907</v>
      </c>
      <c r="I339" s="84">
        <f t="shared" si="31"/>
        <v>6599.9</v>
      </c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</row>
    <row r="340" spans="1:23" ht="18" customHeight="1">
      <c r="A340" s="120" t="s">
        <v>502</v>
      </c>
      <c r="B340" s="89"/>
      <c r="C340" s="69" t="s">
        <v>508</v>
      </c>
      <c r="D340" s="69" t="s">
        <v>508</v>
      </c>
      <c r="E340" s="69" t="s">
        <v>17</v>
      </c>
      <c r="F340" s="69" t="s">
        <v>102</v>
      </c>
      <c r="G340" s="84">
        <f>'прил.16'!G731</f>
        <v>0</v>
      </c>
      <c r="H340" s="84">
        <f>'прил.16'!H731</f>
        <v>907</v>
      </c>
      <c r="I340" s="84">
        <f>'прил.16'!I731</f>
        <v>6599.9</v>
      </c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</row>
    <row r="341" spans="1:23" ht="21.75" customHeight="1">
      <c r="A341" s="118" t="s">
        <v>609</v>
      </c>
      <c r="B341" s="89"/>
      <c r="C341" s="69" t="s">
        <v>508</v>
      </c>
      <c r="D341" s="69" t="s">
        <v>508</v>
      </c>
      <c r="E341" s="69" t="s">
        <v>15</v>
      </c>
      <c r="F341" s="69"/>
      <c r="G341" s="84">
        <f aca="true" t="shared" si="32" ref="G341:I342">G342</f>
        <v>6391.3</v>
      </c>
      <c r="H341" s="84">
        <f t="shared" si="32"/>
        <v>6071.6</v>
      </c>
      <c r="I341" s="84">
        <f t="shared" si="32"/>
        <v>6071.6</v>
      </c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</row>
    <row r="342" spans="1:23" ht="24.75" customHeight="1">
      <c r="A342" s="118" t="s">
        <v>640</v>
      </c>
      <c r="B342" s="89"/>
      <c r="C342" s="69" t="s">
        <v>508</v>
      </c>
      <c r="D342" s="69" t="s">
        <v>508</v>
      </c>
      <c r="E342" s="69" t="s">
        <v>18</v>
      </c>
      <c r="F342" s="69"/>
      <c r="G342" s="84">
        <f t="shared" si="32"/>
        <v>6391.3</v>
      </c>
      <c r="H342" s="84">
        <f t="shared" si="32"/>
        <v>6071.6</v>
      </c>
      <c r="I342" s="84">
        <f t="shared" si="32"/>
        <v>6071.6</v>
      </c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</row>
    <row r="343" spans="1:23" ht="122.25" customHeight="1">
      <c r="A343" s="118" t="s">
        <v>707</v>
      </c>
      <c r="B343" s="89"/>
      <c r="C343" s="69" t="s">
        <v>508</v>
      </c>
      <c r="D343" s="69" t="s">
        <v>508</v>
      </c>
      <c r="E343" s="69" t="s">
        <v>20</v>
      </c>
      <c r="F343" s="69"/>
      <c r="G343" s="84">
        <f>G344</f>
        <v>6391.3</v>
      </c>
      <c r="H343" s="84">
        <f>SUM(H344)</f>
        <v>6071.6</v>
      </c>
      <c r="I343" s="84">
        <f>I344</f>
        <v>6071.6</v>
      </c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</row>
    <row r="344" spans="1:23" ht="21.75" customHeight="1">
      <c r="A344" s="121" t="s">
        <v>601</v>
      </c>
      <c r="B344" s="89"/>
      <c r="C344" s="69" t="s">
        <v>508</v>
      </c>
      <c r="D344" s="69" t="s">
        <v>508</v>
      </c>
      <c r="E344" s="69" t="s">
        <v>20</v>
      </c>
      <c r="F344" s="69" t="s">
        <v>195</v>
      </c>
      <c r="G344" s="84">
        <f>'прил.16'!G344</f>
        <v>6391.3</v>
      </c>
      <c r="H344" s="84">
        <f>'прил.16'!H344</f>
        <v>6071.6</v>
      </c>
      <c r="I344" s="84">
        <f>'прил.16'!I344</f>
        <v>6071.6</v>
      </c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</row>
    <row r="345" spans="1:23" ht="18" customHeight="1">
      <c r="A345" s="116" t="s">
        <v>349</v>
      </c>
      <c r="B345" s="89">
        <v>801</v>
      </c>
      <c r="C345" s="69" t="s">
        <v>508</v>
      </c>
      <c r="D345" s="69" t="s">
        <v>508</v>
      </c>
      <c r="E345" s="69" t="s">
        <v>343</v>
      </c>
      <c r="F345" s="69"/>
      <c r="G345" s="84">
        <f>G347</f>
        <v>700</v>
      </c>
      <c r="H345" s="84">
        <f>H347</f>
        <v>990</v>
      </c>
      <c r="I345" s="84">
        <f>I347</f>
        <v>990</v>
      </c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</row>
    <row r="346" spans="1:23" ht="18" customHeight="1">
      <c r="A346" s="116" t="s">
        <v>380</v>
      </c>
      <c r="B346" s="89">
        <v>801</v>
      </c>
      <c r="C346" s="69" t="s">
        <v>508</v>
      </c>
      <c r="D346" s="69" t="s">
        <v>508</v>
      </c>
      <c r="E346" s="69" t="s">
        <v>344</v>
      </c>
      <c r="F346" s="69"/>
      <c r="G346" s="84">
        <f aca="true" t="shared" si="33" ref="G346:I347">G347</f>
        <v>700</v>
      </c>
      <c r="H346" s="84">
        <f t="shared" si="33"/>
        <v>990</v>
      </c>
      <c r="I346" s="84">
        <f t="shared" si="33"/>
        <v>990</v>
      </c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</row>
    <row r="347" spans="1:23" ht="18" customHeight="1">
      <c r="A347" s="116" t="s">
        <v>199</v>
      </c>
      <c r="B347" s="89">
        <v>801</v>
      </c>
      <c r="C347" s="69" t="s">
        <v>508</v>
      </c>
      <c r="D347" s="69" t="s">
        <v>508</v>
      </c>
      <c r="E347" s="69" t="s">
        <v>354</v>
      </c>
      <c r="F347" s="69"/>
      <c r="G347" s="84">
        <f t="shared" si="33"/>
        <v>700</v>
      </c>
      <c r="H347" s="84">
        <f t="shared" si="33"/>
        <v>990</v>
      </c>
      <c r="I347" s="84">
        <f t="shared" si="33"/>
        <v>990</v>
      </c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</row>
    <row r="348" spans="1:23" ht="18.75" customHeight="1">
      <c r="A348" s="118" t="s">
        <v>346</v>
      </c>
      <c r="B348" s="89">
        <v>801</v>
      </c>
      <c r="C348" s="69" t="s">
        <v>508</v>
      </c>
      <c r="D348" s="69" t="s">
        <v>508</v>
      </c>
      <c r="E348" s="69" t="s">
        <v>354</v>
      </c>
      <c r="F348" s="69" t="s">
        <v>197</v>
      </c>
      <c r="G348" s="84">
        <f>'прил.16'!G117</f>
        <v>700</v>
      </c>
      <c r="H348" s="84">
        <f>'прил.16'!H117</f>
        <v>990</v>
      </c>
      <c r="I348" s="84">
        <f>'прил.16'!I117</f>
        <v>990</v>
      </c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</row>
    <row r="349" spans="1:23" ht="20.25" customHeight="1">
      <c r="A349" s="116" t="s">
        <v>650</v>
      </c>
      <c r="B349" s="89">
        <v>805</v>
      </c>
      <c r="C349" s="69" t="s">
        <v>508</v>
      </c>
      <c r="D349" s="69" t="s">
        <v>40</v>
      </c>
      <c r="E349" s="69"/>
      <c r="F349" s="69"/>
      <c r="G349" s="84">
        <f>G350+G353+G369+G374+G395+G392</f>
        <v>197706.6</v>
      </c>
      <c r="H349" s="84">
        <f>H350+H353+H369+H374+H395+H392</f>
        <v>73002.2</v>
      </c>
      <c r="I349" s="84">
        <f>I350+I353+I369+I374+I395+I392</f>
        <v>78963.4</v>
      </c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</row>
    <row r="350" spans="1:23" ht="53.25" customHeight="1">
      <c r="A350" s="118" t="s">
        <v>26</v>
      </c>
      <c r="B350" s="89">
        <v>805</v>
      </c>
      <c r="C350" s="69" t="s">
        <v>508</v>
      </c>
      <c r="D350" s="69" t="s">
        <v>40</v>
      </c>
      <c r="E350" s="69" t="s">
        <v>27</v>
      </c>
      <c r="F350" s="69"/>
      <c r="G350" s="84">
        <f aca="true" t="shared" si="34" ref="G350:I351">G351</f>
        <v>12645</v>
      </c>
      <c r="H350" s="84">
        <f t="shared" si="34"/>
        <v>12684.300000000001</v>
      </c>
      <c r="I350" s="84">
        <f t="shared" si="34"/>
        <v>12750.400000000001</v>
      </c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</row>
    <row r="351" spans="1:23" ht="16.5">
      <c r="A351" s="118" t="s">
        <v>560</v>
      </c>
      <c r="B351" s="89">
        <v>805</v>
      </c>
      <c r="C351" s="69" t="s">
        <v>573</v>
      </c>
      <c r="D351" s="69" t="s">
        <v>133</v>
      </c>
      <c r="E351" s="69" t="s">
        <v>29</v>
      </c>
      <c r="F351" s="69"/>
      <c r="G351" s="84">
        <f t="shared" si="34"/>
        <v>12645</v>
      </c>
      <c r="H351" s="84">
        <f t="shared" si="34"/>
        <v>12684.300000000001</v>
      </c>
      <c r="I351" s="84">
        <f t="shared" si="34"/>
        <v>12750.400000000001</v>
      </c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</row>
    <row r="352" spans="1:23" ht="16.5">
      <c r="A352" s="118" t="s">
        <v>346</v>
      </c>
      <c r="B352" s="89">
        <v>805</v>
      </c>
      <c r="C352" s="69" t="s">
        <v>508</v>
      </c>
      <c r="D352" s="69" t="s">
        <v>40</v>
      </c>
      <c r="E352" s="69" t="s">
        <v>29</v>
      </c>
      <c r="F352" s="69" t="s">
        <v>197</v>
      </c>
      <c r="G352" s="84">
        <f>'прил.16'!G348</f>
        <v>12645</v>
      </c>
      <c r="H352" s="84">
        <f>'прил.16'!H348</f>
        <v>12684.300000000001</v>
      </c>
      <c r="I352" s="84">
        <f>'прил.16'!I348</f>
        <v>12750.400000000001</v>
      </c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</row>
    <row r="353" spans="1:23" ht="33" hidden="1">
      <c r="A353" s="118" t="s">
        <v>621</v>
      </c>
      <c r="B353" s="89">
        <v>841</v>
      </c>
      <c r="C353" s="69" t="s">
        <v>508</v>
      </c>
      <c r="D353" s="69" t="s">
        <v>40</v>
      </c>
      <c r="E353" s="69" t="s">
        <v>392</v>
      </c>
      <c r="F353" s="69"/>
      <c r="G353" s="84">
        <f>G354+G360</f>
        <v>110470.8</v>
      </c>
      <c r="H353" s="84">
        <f>H354+H360</f>
        <v>0</v>
      </c>
      <c r="I353" s="84">
        <f>I354+I360</f>
        <v>0</v>
      </c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</row>
    <row r="354" spans="1:23" ht="51" customHeight="1" hidden="1">
      <c r="A354" s="118" t="s">
        <v>57</v>
      </c>
      <c r="B354" s="89">
        <v>841</v>
      </c>
      <c r="C354" s="69" t="s">
        <v>508</v>
      </c>
      <c r="D354" s="69" t="s">
        <v>40</v>
      </c>
      <c r="E354" s="69" t="s">
        <v>54</v>
      </c>
      <c r="F354" s="69"/>
      <c r="G354" s="84">
        <f>G355</f>
        <v>0</v>
      </c>
      <c r="H354" s="84">
        <f>H355</f>
        <v>0</v>
      </c>
      <c r="I354" s="84">
        <f>I355</f>
        <v>0</v>
      </c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</row>
    <row r="355" spans="1:23" ht="33" hidden="1">
      <c r="A355" s="118" t="s">
        <v>393</v>
      </c>
      <c r="B355" s="89">
        <v>841</v>
      </c>
      <c r="C355" s="69" t="s">
        <v>508</v>
      </c>
      <c r="D355" s="69" t="s">
        <v>40</v>
      </c>
      <c r="E355" s="69" t="s">
        <v>394</v>
      </c>
      <c r="F355" s="69"/>
      <c r="G355" s="84">
        <f>SUM(G356:G359)</f>
        <v>0</v>
      </c>
      <c r="H355" s="84">
        <f>SUM(H356:H359)</f>
        <v>0</v>
      </c>
      <c r="I355" s="84">
        <f>SUM(I356:I359)</f>
        <v>0</v>
      </c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</row>
    <row r="356" spans="1:23" ht="33" hidden="1">
      <c r="A356" s="118" t="s">
        <v>768</v>
      </c>
      <c r="B356" s="89">
        <v>841</v>
      </c>
      <c r="C356" s="69" t="s">
        <v>508</v>
      </c>
      <c r="D356" s="69" t="s">
        <v>40</v>
      </c>
      <c r="E356" s="69" t="s">
        <v>394</v>
      </c>
      <c r="F356" s="69" t="s">
        <v>68</v>
      </c>
      <c r="G356" s="84">
        <f>'прил.16'!G991</f>
        <v>0</v>
      </c>
      <c r="H356" s="84">
        <f>'прил.16'!H991</f>
        <v>0</v>
      </c>
      <c r="I356" s="84">
        <f>'прил.16'!I991</f>
        <v>0</v>
      </c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</row>
    <row r="357" spans="1:23" ht="33" hidden="1">
      <c r="A357" s="118" t="s">
        <v>339</v>
      </c>
      <c r="B357" s="89">
        <v>841</v>
      </c>
      <c r="C357" s="69" t="s">
        <v>508</v>
      </c>
      <c r="D357" s="69" t="s">
        <v>40</v>
      </c>
      <c r="E357" s="69" t="s">
        <v>394</v>
      </c>
      <c r="F357" s="69" t="s">
        <v>69</v>
      </c>
      <c r="G357" s="84">
        <f>'прил.16'!G992</f>
        <v>0</v>
      </c>
      <c r="H357" s="84">
        <f>'прил.16'!H992</f>
        <v>0</v>
      </c>
      <c r="I357" s="84">
        <f>'прил.16'!I992</f>
        <v>0</v>
      </c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</row>
    <row r="358" spans="1:23" ht="33" hidden="1">
      <c r="A358" s="118" t="s">
        <v>248</v>
      </c>
      <c r="B358" s="89">
        <v>841</v>
      </c>
      <c r="C358" s="69" t="s">
        <v>508</v>
      </c>
      <c r="D358" s="69" t="s">
        <v>40</v>
      </c>
      <c r="E358" s="69" t="s">
        <v>394</v>
      </c>
      <c r="F358" s="69" t="s">
        <v>70</v>
      </c>
      <c r="G358" s="84">
        <f>'прил.16'!G993</f>
        <v>0</v>
      </c>
      <c r="H358" s="84">
        <f>'прил.16'!H993</f>
        <v>0</v>
      </c>
      <c r="I358" s="84">
        <f>'прил.16'!I993</f>
        <v>0</v>
      </c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</row>
    <row r="359" spans="1:23" ht="33" hidden="1">
      <c r="A359" s="118" t="s">
        <v>249</v>
      </c>
      <c r="B359" s="89">
        <v>841</v>
      </c>
      <c r="C359" s="69" t="s">
        <v>508</v>
      </c>
      <c r="D359" s="69" t="s">
        <v>40</v>
      </c>
      <c r="E359" s="69" t="s">
        <v>394</v>
      </c>
      <c r="F359" s="69" t="s">
        <v>71</v>
      </c>
      <c r="G359" s="84">
        <f>'прил.16'!G994</f>
        <v>0</v>
      </c>
      <c r="H359" s="84">
        <f>'прил.16'!H994</f>
        <v>0</v>
      </c>
      <c r="I359" s="84">
        <f>'прил.16'!I994</f>
        <v>0</v>
      </c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</row>
    <row r="360" spans="1:23" ht="16.5" hidden="1">
      <c r="A360" s="118" t="s">
        <v>752</v>
      </c>
      <c r="B360" s="89">
        <v>841</v>
      </c>
      <c r="C360" s="69" t="s">
        <v>508</v>
      </c>
      <c r="D360" s="69" t="s">
        <v>40</v>
      </c>
      <c r="E360" s="69" t="s">
        <v>800</v>
      </c>
      <c r="F360" s="69"/>
      <c r="G360" s="84">
        <f>G361+G363+G365+G367</f>
        <v>110470.8</v>
      </c>
      <c r="H360" s="84">
        <f>H361+H363+H365+H367</f>
        <v>0</v>
      </c>
      <c r="I360" s="84">
        <f>I361+I363+I365+I367</f>
        <v>0</v>
      </c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</row>
    <row r="361" spans="1:23" ht="16.5" hidden="1">
      <c r="A361" s="118" t="s">
        <v>631</v>
      </c>
      <c r="B361" s="89">
        <v>841</v>
      </c>
      <c r="C361" s="69" t="s">
        <v>508</v>
      </c>
      <c r="D361" s="69" t="s">
        <v>40</v>
      </c>
      <c r="E361" s="69" t="s">
        <v>803</v>
      </c>
      <c r="F361" s="69"/>
      <c r="G361" s="84">
        <f>G362</f>
        <v>5070.8</v>
      </c>
      <c r="H361" s="84">
        <f>H362</f>
        <v>0</v>
      </c>
      <c r="I361" s="84">
        <f>I362</f>
        <v>0</v>
      </c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</row>
    <row r="362" spans="1:23" ht="16.5" hidden="1">
      <c r="A362" s="119" t="s">
        <v>636</v>
      </c>
      <c r="B362" s="89">
        <v>841</v>
      </c>
      <c r="C362" s="69" t="s">
        <v>508</v>
      </c>
      <c r="D362" s="69" t="s">
        <v>40</v>
      </c>
      <c r="E362" s="69" t="s">
        <v>803</v>
      </c>
      <c r="F362" s="69" t="s">
        <v>827</v>
      </c>
      <c r="G362" s="84">
        <f>'прил.16'!G997</f>
        <v>5070.8</v>
      </c>
      <c r="H362" s="84">
        <f>'прил.16'!H997</f>
        <v>0</v>
      </c>
      <c r="I362" s="84">
        <f>'прил.16'!I997</f>
        <v>0</v>
      </c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</row>
    <row r="363" spans="1:23" ht="49.5" hidden="1">
      <c r="A363" s="119" t="s">
        <v>651</v>
      </c>
      <c r="B363" s="89">
        <v>841</v>
      </c>
      <c r="C363" s="69" t="s">
        <v>508</v>
      </c>
      <c r="D363" s="69" t="s">
        <v>40</v>
      </c>
      <c r="E363" s="69" t="s">
        <v>808</v>
      </c>
      <c r="F363" s="69"/>
      <c r="G363" s="84">
        <f>G364</f>
        <v>91700</v>
      </c>
      <c r="H363" s="84">
        <f>H364</f>
        <v>0</v>
      </c>
      <c r="I363" s="84">
        <f>I364</f>
        <v>0</v>
      </c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</row>
    <row r="364" spans="1:23" ht="16.5" hidden="1">
      <c r="A364" s="119" t="s">
        <v>636</v>
      </c>
      <c r="B364" s="89">
        <v>841</v>
      </c>
      <c r="C364" s="69" t="s">
        <v>508</v>
      </c>
      <c r="D364" s="69" t="s">
        <v>40</v>
      </c>
      <c r="E364" s="69" t="s">
        <v>808</v>
      </c>
      <c r="F364" s="69" t="s">
        <v>827</v>
      </c>
      <c r="G364" s="84">
        <f>'прил.16'!G999</f>
        <v>91700</v>
      </c>
      <c r="H364" s="84">
        <f>'прил.16'!H999</f>
        <v>0</v>
      </c>
      <c r="I364" s="84">
        <f>'прил.16'!I999</f>
        <v>0</v>
      </c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</row>
    <row r="365" spans="1:23" ht="16.5" hidden="1">
      <c r="A365" s="119" t="s">
        <v>523</v>
      </c>
      <c r="B365" s="89">
        <v>841</v>
      </c>
      <c r="C365" s="69" t="s">
        <v>508</v>
      </c>
      <c r="D365" s="69" t="s">
        <v>40</v>
      </c>
      <c r="E365" s="69" t="s">
        <v>809</v>
      </c>
      <c r="F365" s="69"/>
      <c r="G365" s="84">
        <f>G366</f>
        <v>10700</v>
      </c>
      <c r="H365" s="84">
        <f>H366</f>
        <v>0</v>
      </c>
      <c r="I365" s="84">
        <f>I366</f>
        <v>0</v>
      </c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</row>
    <row r="366" spans="1:23" ht="16.5" hidden="1">
      <c r="A366" s="119" t="s">
        <v>636</v>
      </c>
      <c r="B366" s="89">
        <v>841</v>
      </c>
      <c r="C366" s="69" t="s">
        <v>508</v>
      </c>
      <c r="D366" s="69" t="s">
        <v>40</v>
      </c>
      <c r="E366" s="69" t="s">
        <v>809</v>
      </c>
      <c r="F366" s="69" t="s">
        <v>827</v>
      </c>
      <c r="G366" s="84">
        <f>'прил.16'!G1001</f>
        <v>10700</v>
      </c>
      <c r="H366" s="84">
        <f>'прил.16'!H1001</f>
        <v>0</v>
      </c>
      <c r="I366" s="84">
        <f>'прил.16'!I1001</f>
        <v>0</v>
      </c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</row>
    <row r="367" spans="1:23" ht="16.5" hidden="1">
      <c r="A367" s="119" t="s">
        <v>268</v>
      </c>
      <c r="B367" s="89"/>
      <c r="C367" s="69" t="s">
        <v>508</v>
      </c>
      <c r="D367" s="69" t="s">
        <v>40</v>
      </c>
      <c r="E367" s="69" t="s">
        <v>269</v>
      </c>
      <c r="F367" s="69"/>
      <c r="G367" s="84">
        <f>G368</f>
        <v>3000</v>
      </c>
      <c r="H367" s="84">
        <f>H368</f>
        <v>0</v>
      </c>
      <c r="I367" s="84">
        <f>I368</f>
        <v>0</v>
      </c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</row>
    <row r="368" spans="1:23" ht="16.5" hidden="1">
      <c r="A368" s="119" t="s">
        <v>636</v>
      </c>
      <c r="B368" s="89"/>
      <c r="C368" s="69" t="s">
        <v>508</v>
      </c>
      <c r="D368" s="69" t="s">
        <v>40</v>
      </c>
      <c r="E368" s="69" t="s">
        <v>269</v>
      </c>
      <c r="F368" s="69" t="s">
        <v>827</v>
      </c>
      <c r="G368" s="84">
        <f>'прил.16'!G1003</f>
        <v>3000</v>
      </c>
      <c r="H368" s="84">
        <f>'прил.16'!H1003</f>
        <v>0</v>
      </c>
      <c r="I368" s="84">
        <f>'прил.16'!I1003</f>
        <v>0</v>
      </c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</row>
    <row r="369" spans="1:23" ht="51" customHeight="1">
      <c r="A369" s="118" t="s">
        <v>652</v>
      </c>
      <c r="B369" s="89">
        <v>805</v>
      </c>
      <c r="C369" s="69" t="s">
        <v>508</v>
      </c>
      <c r="D369" s="69" t="s">
        <v>40</v>
      </c>
      <c r="E369" s="69" t="s">
        <v>532</v>
      </c>
      <c r="F369" s="69"/>
      <c r="G369" s="84">
        <f>G370+G372</f>
        <v>47975.9</v>
      </c>
      <c r="H369" s="84">
        <f>H370+H372</f>
        <v>48192.3</v>
      </c>
      <c r="I369" s="84">
        <f>I370+I372</f>
        <v>48577</v>
      </c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</row>
    <row r="370" spans="1:23" ht="16.5">
      <c r="A370" s="116" t="s">
        <v>564</v>
      </c>
      <c r="B370" s="89">
        <v>805</v>
      </c>
      <c r="C370" s="69" t="s">
        <v>508</v>
      </c>
      <c r="D370" s="69" t="s">
        <v>40</v>
      </c>
      <c r="E370" s="69" t="s">
        <v>479</v>
      </c>
      <c r="F370" s="69"/>
      <c r="G370" s="84">
        <f>G371</f>
        <v>469.3</v>
      </c>
      <c r="H370" s="84">
        <f>H371</f>
        <v>469.3</v>
      </c>
      <c r="I370" s="84">
        <f>I371</f>
        <v>469.3</v>
      </c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</row>
    <row r="371" spans="1:23" ht="16.5">
      <c r="A371" s="118" t="s">
        <v>836</v>
      </c>
      <c r="B371" s="89">
        <v>805</v>
      </c>
      <c r="C371" s="69" t="s">
        <v>508</v>
      </c>
      <c r="D371" s="69" t="s">
        <v>40</v>
      </c>
      <c r="E371" s="69" t="s">
        <v>479</v>
      </c>
      <c r="F371" s="69" t="s">
        <v>545</v>
      </c>
      <c r="G371" s="84">
        <f>'прил.16'!G351</f>
        <v>469.3</v>
      </c>
      <c r="H371" s="84">
        <f>'прил.16'!H351</f>
        <v>469.3</v>
      </c>
      <c r="I371" s="84">
        <f>'прил.16'!I351</f>
        <v>469.3</v>
      </c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</row>
    <row r="372" spans="1:23" ht="16.5">
      <c r="A372" s="116" t="s">
        <v>540</v>
      </c>
      <c r="B372" s="89">
        <v>805</v>
      </c>
      <c r="C372" s="69" t="s">
        <v>508</v>
      </c>
      <c r="D372" s="69" t="s">
        <v>40</v>
      </c>
      <c r="E372" s="69" t="s">
        <v>533</v>
      </c>
      <c r="F372" s="69"/>
      <c r="G372" s="84">
        <f>G373</f>
        <v>47506.6</v>
      </c>
      <c r="H372" s="84">
        <f>H373</f>
        <v>47723</v>
      </c>
      <c r="I372" s="84">
        <f>I373</f>
        <v>48107.7</v>
      </c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</row>
    <row r="373" spans="1:23" ht="16.5">
      <c r="A373" s="118" t="s">
        <v>836</v>
      </c>
      <c r="B373" s="89">
        <v>805</v>
      </c>
      <c r="C373" s="69" t="s">
        <v>508</v>
      </c>
      <c r="D373" s="69" t="s">
        <v>40</v>
      </c>
      <c r="E373" s="69" t="s">
        <v>533</v>
      </c>
      <c r="F373" s="69" t="s">
        <v>545</v>
      </c>
      <c r="G373" s="84">
        <f>'прил.16'!G353+'прил.16'!G898</f>
        <v>47506.6</v>
      </c>
      <c r="H373" s="84">
        <f>'прил.16'!H353+'прил.16'!H898</f>
        <v>47723</v>
      </c>
      <c r="I373" s="84">
        <f>'прил.16'!I353+'прил.16'!I898</f>
        <v>48107.7</v>
      </c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</row>
    <row r="374" spans="1:23" ht="19.5" customHeight="1">
      <c r="A374" s="118" t="s">
        <v>380</v>
      </c>
      <c r="B374" s="89">
        <v>805</v>
      </c>
      <c r="C374" s="69" t="s">
        <v>508</v>
      </c>
      <c r="D374" s="69" t="s">
        <v>40</v>
      </c>
      <c r="E374" s="69" t="s">
        <v>381</v>
      </c>
      <c r="F374" s="69"/>
      <c r="G374" s="84">
        <f>G375+G382+G380+G386+G388+G384+G390</f>
        <v>4708.8</v>
      </c>
      <c r="H374" s="84">
        <f>H375+H382+H380+H386+H388+H384+H390</f>
        <v>2817.4</v>
      </c>
      <c r="I374" s="84">
        <f>I375+I382+I380+I386+I388+I384+I390</f>
        <v>6523.299999999999</v>
      </c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</row>
    <row r="375" spans="1:23" ht="38.25" customHeight="1" hidden="1">
      <c r="A375" s="119" t="s">
        <v>264</v>
      </c>
      <c r="B375" s="89"/>
      <c r="C375" s="69" t="s">
        <v>508</v>
      </c>
      <c r="D375" s="69" t="s">
        <v>40</v>
      </c>
      <c r="E375" s="69" t="s">
        <v>262</v>
      </c>
      <c r="F375" s="69"/>
      <c r="G375" s="84">
        <f>G376+G378</f>
        <v>0</v>
      </c>
      <c r="H375" s="84">
        <f>H376+H378</f>
        <v>0</v>
      </c>
      <c r="I375" s="84">
        <f>I376+I378</f>
        <v>0</v>
      </c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</row>
    <row r="376" spans="1:23" ht="51" customHeight="1" hidden="1">
      <c r="A376" s="119" t="s">
        <v>265</v>
      </c>
      <c r="B376" s="89">
        <v>805</v>
      </c>
      <c r="C376" s="69" t="s">
        <v>508</v>
      </c>
      <c r="D376" s="69" t="s">
        <v>40</v>
      </c>
      <c r="E376" s="69" t="s">
        <v>278</v>
      </c>
      <c r="F376" s="69"/>
      <c r="G376" s="84">
        <f>G377</f>
        <v>0</v>
      </c>
      <c r="H376" s="84">
        <f>H377</f>
        <v>0</v>
      </c>
      <c r="I376" s="84">
        <f>I377</f>
        <v>0</v>
      </c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</row>
    <row r="377" spans="1:23" ht="17.25" customHeight="1" hidden="1">
      <c r="A377" s="118" t="s">
        <v>501</v>
      </c>
      <c r="B377" s="89">
        <v>805</v>
      </c>
      <c r="C377" s="69" t="s">
        <v>508</v>
      </c>
      <c r="D377" s="69" t="s">
        <v>40</v>
      </c>
      <c r="E377" s="69" t="s">
        <v>278</v>
      </c>
      <c r="F377" s="69" t="s">
        <v>102</v>
      </c>
      <c r="G377" s="84">
        <f>'прил.16'!G357</f>
        <v>0</v>
      </c>
      <c r="H377" s="84">
        <f>'прил.16'!H357</f>
        <v>0</v>
      </c>
      <c r="I377" s="84">
        <f>'прил.16'!I357</f>
        <v>0</v>
      </c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</row>
    <row r="378" spans="1:23" ht="51" customHeight="1" hidden="1">
      <c r="A378" s="119" t="s">
        <v>497</v>
      </c>
      <c r="B378" s="89">
        <v>805</v>
      </c>
      <c r="C378" s="69" t="s">
        <v>508</v>
      </c>
      <c r="D378" s="69" t="s">
        <v>40</v>
      </c>
      <c r="E378" s="69" t="s">
        <v>279</v>
      </c>
      <c r="F378" s="69"/>
      <c r="G378" s="84">
        <f>G379</f>
        <v>0</v>
      </c>
      <c r="H378" s="84">
        <f>H379</f>
        <v>0</v>
      </c>
      <c r="I378" s="84">
        <f>I379</f>
        <v>0</v>
      </c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</row>
    <row r="379" spans="1:23" ht="18.75" customHeight="1" hidden="1">
      <c r="A379" s="118" t="s">
        <v>501</v>
      </c>
      <c r="B379" s="89">
        <v>805</v>
      </c>
      <c r="C379" s="69" t="s">
        <v>508</v>
      </c>
      <c r="D379" s="69" t="s">
        <v>40</v>
      </c>
      <c r="E379" s="69" t="s">
        <v>279</v>
      </c>
      <c r="F379" s="69" t="s">
        <v>102</v>
      </c>
      <c r="G379" s="84">
        <f>'прил.16'!G359</f>
        <v>0</v>
      </c>
      <c r="H379" s="84">
        <f>'прил.16'!H359</f>
        <v>0</v>
      </c>
      <c r="I379" s="84">
        <f>'прил.16'!I359</f>
        <v>0</v>
      </c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</row>
    <row r="380" spans="1:23" ht="18.75" customHeight="1" hidden="1">
      <c r="A380" s="119" t="s">
        <v>770</v>
      </c>
      <c r="B380" s="89">
        <v>805</v>
      </c>
      <c r="C380" s="69" t="s">
        <v>508</v>
      </c>
      <c r="D380" s="69" t="s">
        <v>40</v>
      </c>
      <c r="E380" s="69" t="s">
        <v>281</v>
      </c>
      <c r="F380" s="69"/>
      <c r="G380" s="84">
        <f>G381</f>
        <v>0</v>
      </c>
      <c r="H380" s="84">
        <f>H381</f>
        <v>0</v>
      </c>
      <c r="I380" s="84">
        <f>I381</f>
        <v>0</v>
      </c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</row>
    <row r="381" spans="1:23" ht="18.75" customHeight="1" hidden="1">
      <c r="A381" s="118" t="s">
        <v>501</v>
      </c>
      <c r="B381" s="89">
        <v>805</v>
      </c>
      <c r="C381" s="69" t="s">
        <v>508</v>
      </c>
      <c r="D381" s="69" t="s">
        <v>40</v>
      </c>
      <c r="E381" s="69" t="s">
        <v>281</v>
      </c>
      <c r="F381" s="69" t="s">
        <v>102</v>
      </c>
      <c r="G381" s="84">
        <f>'прил.16'!G361</f>
        <v>0</v>
      </c>
      <c r="H381" s="84">
        <f>'прил.16'!H361</f>
        <v>0</v>
      </c>
      <c r="I381" s="84">
        <f>'прил.16'!I361</f>
        <v>0</v>
      </c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</row>
    <row r="382" spans="1:23" ht="33" customHeight="1" hidden="1">
      <c r="A382" s="119" t="s">
        <v>769</v>
      </c>
      <c r="B382" s="89">
        <v>805</v>
      </c>
      <c r="C382" s="69" t="s">
        <v>508</v>
      </c>
      <c r="D382" s="69" t="s">
        <v>40</v>
      </c>
      <c r="E382" s="69" t="s">
        <v>280</v>
      </c>
      <c r="F382" s="69"/>
      <c r="G382" s="84">
        <f>G383</f>
        <v>0</v>
      </c>
      <c r="H382" s="84">
        <f>H383</f>
        <v>0</v>
      </c>
      <c r="I382" s="84">
        <f>I383</f>
        <v>0</v>
      </c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</row>
    <row r="383" spans="1:23" ht="19.5" customHeight="1" hidden="1">
      <c r="A383" s="118" t="s">
        <v>501</v>
      </c>
      <c r="B383" s="89">
        <v>805</v>
      </c>
      <c r="C383" s="69" t="s">
        <v>508</v>
      </c>
      <c r="D383" s="69" t="s">
        <v>40</v>
      </c>
      <c r="E383" s="69" t="s">
        <v>280</v>
      </c>
      <c r="F383" s="69" t="s">
        <v>102</v>
      </c>
      <c r="G383" s="84">
        <f>'прил.16'!G363</f>
        <v>0</v>
      </c>
      <c r="H383" s="84">
        <f>'прил.16'!H363</f>
        <v>0</v>
      </c>
      <c r="I383" s="84">
        <f>'прил.16'!I363</f>
        <v>0</v>
      </c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</row>
    <row r="384" spans="1:23" ht="36" customHeight="1">
      <c r="A384" s="124" t="s">
        <v>813</v>
      </c>
      <c r="B384" s="89"/>
      <c r="C384" s="69" t="s">
        <v>508</v>
      </c>
      <c r="D384" s="69" t="s">
        <v>40</v>
      </c>
      <c r="E384" s="69" t="s">
        <v>457</v>
      </c>
      <c r="F384" s="69"/>
      <c r="G384" s="84">
        <f>SUM(G385)</f>
        <v>2573</v>
      </c>
      <c r="H384" s="84">
        <f>SUM(H385)</f>
        <v>2727.4</v>
      </c>
      <c r="I384" s="84">
        <f>SUM(I385)</f>
        <v>2874.7</v>
      </c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</row>
    <row r="385" spans="1:23" ht="19.5" customHeight="1">
      <c r="A385" s="120" t="s">
        <v>501</v>
      </c>
      <c r="B385" s="89"/>
      <c r="C385" s="69" t="s">
        <v>508</v>
      </c>
      <c r="D385" s="69" t="s">
        <v>40</v>
      </c>
      <c r="E385" s="69" t="s">
        <v>457</v>
      </c>
      <c r="F385" s="69" t="s">
        <v>102</v>
      </c>
      <c r="G385" s="84">
        <f>'прил.16'!G365</f>
        <v>2573</v>
      </c>
      <c r="H385" s="84">
        <f>'прил.16'!H365</f>
        <v>2727.4</v>
      </c>
      <c r="I385" s="84">
        <f>'прил.16'!I365</f>
        <v>2874.7</v>
      </c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</row>
    <row r="386" spans="1:23" ht="49.5" hidden="1">
      <c r="A386" s="116" t="s">
        <v>224</v>
      </c>
      <c r="B386" s="89"/>
      <c r="C386" s="69" t="s">
        <v>508</v>
      </c>
      <c r="D386" s="69" t="s">
        <v>40</v>
      </c>
      <c r="E386" s="69" t="s">
        <v>212</v>
      </c>
      <c r="F386" s="69"/>
      <c r="G386" s="84">
        <f>G387</f>
        <v>0</v>
      </c>
      <c r="H386" s="84">
        <f>H387</f>
        <v>0</v>
      </c>
      <c r="I386" s="84">
        <f>I387</f>
        <v>0</v>
      </c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</row>
    <row r="387" spans="1:23" ht="16.5" hidden="1">
      <c r="A387" s="119" t="s">
        <v>3</v>
      </c>
      <c r="B387" s="89"/>
      <c r="C387" s="69" t="s">
        <v>508</v>
      </c>
      <c r="D387" s="69" t="s">
        <v>40</v>
      </c>
      <c r="E387" s="69" t="s">
        <v>212</v>
      </c>
      <c r="F387" s="69" t="s">
        <v>68</v>
      </c>
      <c r="G387" s="84"/>
      <c r="H387" s="84"/>
      <c r="I387" s="84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</row>
    <row r="388" spans="1:23" ht="34.5" customHeight="1">
      <c r="A388" s="131" t="s">
        <v>818</v>
      </c>
      <c r="B388" s="89"/>
      <c r="C388" s="69" t="s">
        <v>508</v>
      </c>
      <c r="D388" s="69" t="s">
        <v>40</v>
      </c>
      <c r="E388" s="69" t="s">
        <v>426</v>
      </c>
      <c r="F388" s="81"/>
      <c r="G388" s="84">
        <f>G389</f>
        <v>159</v>
      </c>
      <c r="H388" s="84">
        <f>H389</f>
        <v>90</v>
      </c>
      <c r="I388" s="84">
        <f>I389</f>
        <v>285</v>
      </c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</row>
    <row r="389" spans="1:23" ht="16.5">
      <c r="A389" s="120" t="s">
        <v>501</v>
      </c>
      <c r="B389" s="89"/>
      <c r="C389" s="69" t="s">
        <v>508</v>
      </c>
      <c r="D389" s="69" t="s">
        <v>40</v>
      </c>
      <c r="E389" s="69" t="s">
        <v>426</v>
      </c>
      <c r="F389" s="81" t="s">
        <v>102</v>
      </c>
      <c r="G389" s="84">
        <f>'прил.16'!G573</f>
        <v>159</v>
      </c>
      <c r="H389" s="84">
        <f>'прил.16'!H573</f>
        <v>90</v>
      </c>
      <c r="I389" s="84">
        <f>'прил.16'!I573</f>
        <v>285</v>
      </c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</row>
    <row r="390" spans="1:23" ht="33">
      <c r="A390" s="124" t="s">
        <v>313</v>
      </c>
      <c r="B390" s="89"/>
      <c r="C390" s="69" t="s">
        <v>508</v>
      </c>
      <c r="D390" s="69" t="s">
        <v>40</v>
      </c>
      <c r="E390" s="69" t="s">
        <v>433</v>
      </c>
      <c r="F390" s="81"/>
      <c r="G390" s="84">
        <f>G391</f>
        <v>1976.8</v>
      </c>
      <c r="H390" s="84">
        <f>H391</f>
        <v>0</v>
      </c>
      <c r="I390" s="84">
        <f>I391</f>
        <v>3363.6</v>
      </c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</row>
    <row r="391" spans="1:23" ht="16.5">
      <c r="A391" s="120" t="s">
        <v>501</v>
      </c>
      <c r="B391" s="89"/>
      <c r="C391" s="69" t="s">
        <v>508</v>
      </c>
      <c r="D391" s="69" t="s">
        <v>40</v>
      </c>
      <c r="E391" s="69" t="s">
        <v>433</v>
      </c>
      <c r="F391" s="81" t="s">
        <v>102</v>
      </c>
      <c r="G391" s="84">
        <f>'прил.16'!G367</f>
        <v>1976.8</v>
      </c>
      <c r="H391" s="84">
        <f>'прил.16'!H367</f>
        <v>0</v>
      </c>
      <c r="I391" s="84">
        <f>'прил.16'!I367</f>
        <v>3363.6</v>
      </c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</row>
    <row r="392" spans="1:23" ht="16.5">
      <c r="A392" s="118" t="s">
        <v>609</v>
      </c>
      <c r="B392" s="89"/>
      <c r="C392" s="69" t="s">
        <v>508</v>
      </c>
      <c r="D392" s="69" t="s">
        <v>40</v>
      </c>
      <c r="E392" s="69" t="s">
        <v>15</v>
      </c>
      <c r="F392" s="69"/>
      <c r="G392" s="84">
        <f aca="true" t="shared" si="35" ref="G392:I393">G393</f>
        <v>5034.9</v>
      </c>
      <c r="H392" s="84">
        <f t="shared" si="35"/>
        <v>4798.7</v>
      </c>
      <c r="I392" s="84">
        <f t="shared" si="35"/>
        <v>4798.7</v>
      </c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</row>
    <row r="393" spans="1:23" ht="34.5" customHeight="1">
      <c r="A393" s="124" t="s">
        <v>318</v>
      </c>
      <c r="B393" s="89"/>
      <c r="C393" s="69" t="s">
        <v>508</v>
      </c>
      <c r="D393" s="69" t="s">
        <v>40</v>
      </c>
      <c r="E393" s="69" t="s">
        <v>171</v>
      </c>
      <c r="F393" s="69"/>
      <c r="G393" s="84">
        <f t="shared" si="35"/>
        <v>5034.9</v>
      </c>
      <c r="H393" s="84">
        <f t="shared" si="35"/>
        <v>4798.7</v>
      </c>
      <c r="I393" s="84">
        <f t="shared" si="35"/>
        <v>4798.7</v>
      </c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</row>
    <row r="394" spans="1:23" ht="16.5">
      <c r="A394" s="127" t="s">
        <v>601</v>
      </c>
      <c r="B394" s="89"/>
      <c r="C394" s="69" t="s">
        <v>508</v>
      </c>
      <c r="D394" s="69" t="s">
        <v>40</v>
      </c>
      <c r="E394" s="69" t="s">
        <v>171</v>
      </c>
      <c r="F394" s="69" t="s">
        <v>195</v>
      </c>
      <c r="G394" s="84">
        <f>'прил.16'!G370</f>
        <v>5034.9</v>
      </c>
      <c r="H394" s="84">
        <f>'прил.16'!H370</f>
        <v>4798.7</v>
      </c>
      <c r="I394" s="84">
        <f>'прил.16'!I370</f>
        <v>4798.7</v>
      </c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</row>
    <row r="395" spans="1:23" ht="16.5">
      <c r="A395" s="116" t="s">
        <v>349</v>
      </c>
      <c r="B395" s="89">
        <v>805</v>
      </c>
      <c r="C395" s="69" t="s">
        <v>508</v>
      </c>
      <c r="D395" s="69" t="s">
        <v>40</v>
      </c>
      <c r="E395" s="69" t="s">
        <v>343</v>
      </c>
      <c r="F395" s="69"/>
      <c r="G395" s="84">
        <f>G396+G403</f>
        <v>16871.2</v>
      </c>
      <c r="H395" s="84">
        <f>H396+H403</f>
        <v>4509.5</v>
      </c>
      <c r="I395" s="84">
        <f>I396+I403</f>
        <v>6314</v>
      </c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</row>
    <row r="396" spans="1:23" ht="16.5">
      <c r="A396" s="116" t="s">
        <v>380</v>
      </c>
      <c r="B396" s="89"/>
      <c r="C396" s="69" t="s">
        <v>508</v>
      </c>
      <c r="D396" s="69" t="s">
        <v>40</v>
      </c>
      <c r="E396" s="69" t="s">
        <v>344</v>
      </c>
      <c r="F396" s="69"/>
      <c r="G396" s="84">
        <f>G397+G399+G401</f>
        <v>15135.800000000001</v>
      </c>
      <c r="H396" s="84">
        <f>H397+H399+H401</f>
        <v>2774.1</v>
      </c>
      <c r="I396" s="84">
        <f>I397+I399+I401</f>
        <v>4578.6</v>
      </c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</row>
    <row r="397" spans="1:23" ht="19.5" customHeight="1">
      <c r="A397" s="116" t="s">
        <v>200</v>
      </c>
      <c r="B397" s="89">
        <v>805</v>
      </c>
      <c r="C397" s="69" t="s">
        <v>531</v>
      </c>
      <c r="D397" s="69" t="s">
        <v>40</v>
      </c>
      <c r="E397" s="69" t="s">
        <v>354</v>
      </c>
      <c r="F397" s="69"/>
      <c r="G397" s="84">
        <f>G398</f>
        <v>1890</v>
      </c>
      <c r="H397" s="84">
        <f>H398</f>
        <v>1777.1</v>
      </c>
      <c r="I397" s="84">
        <f>I398</f>
        <v>1442.1</v>
      </c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</row>
    <row r="398" spans="1:23" ht="16.5">
      <c r="A398" s="118" t="s">
        <v>501</v>
      </c>
      <c r="B398" s="89">
        <v>805</v>
      </c>
      <c r="C398" s="69" t="s">
        <v>531</v>
      </c>
      <c r="D398" s="69" t="s">
        <v>40</v>
      </c>
      <c r="E398" s="69" t="s">
        <v>354</v>
      </c>
      <c r="F398" s="69" t="s">
        <v>102</v>
      </c>
      <c r="G398" s="84">
        <f>'прил.16'!G374+'прил.16'!G577</f>
        <v>1890</v>
      </c>
      <c r="H398" s="84">
        <f>'прил.16'!H374+'прил.16'!H577</f>
        <v>1777.1</v>
      </c>
      <c r="I398" s="84">
        <f>'прил.16'!I374+'прил.16'!I577</f>
        <v>1442.1</v>
      </c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</row>
    <row r="399" spans="1:23" ht="16.5" customHeight="1">
      <c r="A399" s="116" t="s">
        <v>764</v>
      </c>
      <c r="B399" s="89">
        <v>805</v>
      </c>
      <c r="C399" s="69" t="s">
        <v>531</v>
      </c>
      <c r="D399" s="69" t="s">
        <v>40</v>
      </c>
      <c r="E399" s="69" t="s">
        <v>350</v>
      </c>
      <c r="F399" s="69"/>
      <c r="G399" s="84">
        <f>G400</f>
        <v>1058.1</v>
      </c>
      <c r="H399" s="84">
        <f>H400</f>
        <v>997</v>
      </c>
      <c r="I399" s="84">
        <f>I400</f>
        <v>3136.5</v>
      </c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</row>
    <row r="400" spans="1:23" ht="17.25" customHeight="1">
      <c r="A400" s="118" t="s">
        <v>501</v>
      </c>
      <c r="B400" s="89">
        <v>805</v>
      </c>
      <c r="C400" s="69" t="s">
        <v>531</v>
      </c>
      <c r="D400" s="69" t="s">
        <v>40</v>
      </c>
      <c r="E400" s="69" t="s">
        <v>350</v>
      </c>
      <c r="F400" s="69" t="s">
        <v>102</v>
      </c>
      <c r="G400" s="84">
        <f>'прил.16'!G376</f>
        <v>1058.1</v>
      </c>
      <c r="H400" s="84">
        <f>'прил.16'!H376</f>
        <v>997</v>
      </c>
      <c r="I400" s="84">
        <f>'прил.16'!I376</f>
        <v>3136.5</v>
      </c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</row>
    <row r="401" spans="1:23" ht="17.25" customHeight="1" hidden="1">
      <c r="A401" s="116" t="s">
        <v>771</v>
      </c>
      <c r="B401" s="12">
        <v>809</v>
      </c>
      <c r="C401" s="81" t="s">
        <v>508</v>
      </c>
      <c r="D401" s="81" t="s">
        <v>40</v>
      </c>
      <c r="E401" s="69" t="s">
        <v>348</v>
      </c>
      <c r="F401" s="69"/>
      <c r="G401" s="84">
        <f>SUM(G402:G402)</f>
        <v>12187.7</v>
      </c>
      <c r="H401" s="84">
        <f>SUM(H402:H402)</f>
        <v>0</v>
      </c>
      <c r="I401" s="84">
        <f>SUM(I402:I402)</f>
        <v>0</v>
      </c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</row>
    <row r="402" spans="1:23" s="19" customFormat="1" ht="17.25" customHeight="1" hidden="1">
      <c r="A402" s="118" t="s">
        <v>501</v>
      </c>
      <c r="B402" s="89">
        <v>841</v>
      </c>
      <c r="C402" s="69" t="s">
        <v>508</v>
      </c>
      <c r="D402" s="69" t="s">
        <v>40</v>
      </c>
      <c r="E402" s="69" t="s">
        <v>348</v>
      </c>
      <c r="F402" s="69" t="s">
        <v>102</v>
      </c>
      <c r="G402" s="84">
        <f>'прил.16'!G378+'прил.16'!G671+'прил.16'!G902</f>
        <v>12187.7</v>
      </c>
      <c r="H402" s="84">
        <f>'прил.16'!H378+'прил.16'!H671</f>
        <v>0</v>
      </c>
      <c r="I402" s="84">
        <f>'прил.16'!I378+'прил.16'!I671</f>
        <v>0</v>
      </c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</row>
    <row r="403" spans="1:9" s="11" customFormat="1" ht="17.25" customHeight="1">
      <c r="A403" s="118" t="s">
        <v>7</v>
      </c>
      <c r="B403" s="12"/>
      <c r="C403" s="81" t="s">
        <v>508</v>
      </c>
      <c r="D403" s="81" t="s">
        <v>40</v>
      </c>
      <c r="E403" s="69" t="s">
        <v>534</v>
      </c>
      <c r="F403" s="69"/>
      <c r="G403" s="84">
        <f aca="true" t="shared" si="36" ref="G403:I404">G404</f>
        <v>1735.4</v>
      </c>
      <c r="H403" s="84">
        <f t="shared" si="36"/>
        <v>1735.4</v>
      </c>
      <c r="I403" s="84">
        <f t="shared" si="36"/>
        <v>1735.4</v>
      </c>
    </row>
    <row r="404" spans="1:9" s="11" customFormat="1" ht="17.25" customHeight="1">
      <c r="A404" s="116" t="s">
        <v>653</v>
      </c>
      <c r="B404" s="12"/>
      <c r="C404" s="81" t="s">
        <v>508</v>
      </c>
      <c r="D404" s="81" t="s">
        <v>40</v>
      </c>
      <c r="E404" s="69" t="s">
        <v>355</v>
      </c>
      <c r="F404" s="69"/>
      <c r="G404" s="84">
        <f t="shared" si="36"/>
        <v>1735.4</v>
      </c>
      <c r="H404" s="84">
        <f t="shared" si="36"/>
        <v>1735.4</v>
      </c>
      <c r="I404" s="84">
        <f t="shared" si="36"/>
        <v>1735.4</v>
      </c>
    </row>
    <row r="405" spans="1:9" s="11" customFormat="1" ht="17.25" customHeight="1">
      <c r="A405" s="118" t="s">
        <v>501</v>
      </c>
      <c r="B405" s="12"/>
      <c r="C405" s="69" t="s">
        <v>508</v>
      </c>
      <c r="D405" s="69" t="s">
        <v>40</v>
      </c>
      <c r="E405" s="69" t="s">
        <v>355</v>
      </c>
      <c r="F405" s="69" t="s">
        <v>102</v>
      </c>
      <c r="G405" s="84">
        <f>'прил.16'!G381</f>
        <v>1735.4</v>
      </c>
      <c r="H405" s="84">
        <f>'прил.16'!H381</f>
        <v>1735.4</v>
      </c>
      <c r="I405" s="84">
        <f>'прил.16'!I381</f>
        <v>1735.4</v>
      </c>
    </row>
    <row r="406" spans="1:23" ht="16.5">
      <c r="A406" s="116" t="s">
        <v>495</v>
      </c>
      <c r="B406" s="75"/>
      <c r="C406" s="69" t="s">
        <v>43</v>
      </c>
      <c r="D406" s="69"/>
      <c r="E406" s="69"/>
      <c r="F406" s="69"/>
      <c r="G406" s="84">
        <f>G407+G444</f>
        <v>222955.90000000002</v>
      </c>
      <c r="H406" s="84">
        <f>H407+H444</f>
        <v>200270.50000000003</v>
      </c>
      <c r="I406" s="84">
        <f>I407+I444</f>
        <v>203659.30000000002</v>
      </c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</row>
    <row r="407" spans="1:23" ht="16.5">
      <c r="A407" s="116" t="s">
        <v>654</v>
      </c>
      <c r="B407" s="89">
        <v>808</v>
      </c>
      <c r="C407" s="69" t="s">
        <v>43</v>
      </c>
      <c r="D407" s="69" t="s">
        <v>790</v>
      </c>
      <c r="E407" s="69"/>
      <c r="F407" s="69"/>
      <c r="G407" s="84">
        <f>G408+G417+G422+G427+G432+G435</f>
        <v>209583.00000000003</v>
      </c>
      <c r="H407" s="84">
        <f>H408+H417+H422+H427+H432+H435</f>
        <v>186702.40000000002</v>
      </c>
      <c r="I407" s="84">
        <f>I408+I417+I422+I427+I432+I435</f>
        <v>189904.90000000002</v>
      </c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</row>
    <row r="408" spans="1:23" ht="21" customHeight="1">
      <c r="A408" s="118" t="s">
        <v>622</v>
      </c>
      <c r="B408" s="89">
        <v>808</v>
      </c>
      <c r="C408" s="69" t="s">
        <v>43</v>
      </c>
      <c r="D408" s="69" t="s">
        <v>790</v>
      </c>
      <c r="E408" s="69" t="s">
        <v>141</v>
      </c>
      <c r="F408" s="69"/>
      <c r="G408" s="84">
        <f>G411+G413</f>
        <v>80203.7</v>
      </c>
      <c r="H408" s="84">
        <f>H411+H413+H409</f>
        <v>81326.6</v>
      </c>
      <c r="I408" s="84">
        <f>I411+I413+I409</f>
        <v>82668.9</v>
      </c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</row>
    <row r="409" spans="1:23" ht="21" customHeight="1">
      <c r="A409" s="118" t="s">
        <v>360</v>
      </c>
      <c r="B409" s="89"/>
      <c r="C409" s="69" t="s">
        <v>43</v>
      </c>
      <c r="D409" s="69" t="s">
        <v>790</v>
      </c>
      <c r="E409" s="69" t="s">
        <v>359</v>
      </c>
      <c r="F409" s="69"/>
      <c r="G409" s="84"/>
      <c r="H409" s="84">
        <f>H410</f>
        <v>3175</v>
      </c>
      <c r="I409" s="84">
        <f>I410</f>
        <v>3317.9</v>
      </c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</row>
    <row r="410" spans="1:23" ht="34.5" customHeight="1">
      <c r="A410" s="119" t="s">
        <v>784</v>
      </c>
      <c r="B410" s="89"/>
      <c r="C410" s="69" t="s">
        <v>43</v>
      </c>
      <c r="D410" s="69" t="s">
        <v>790</v>
      </c>
      <c r="E410" s="69" t="s">
        <v>359</v>
      </c>
      <c r="F410" s="69" t="s">
        <v>285</v>
      </c>
      <c r="G410" s="84"/>
      <c r="H410" s="84">
        <f>'прил.16'!H582</f>
        <v>3175</v>
      </c>
      <c r="I410" s="84">
        <f>'прил.16'!I582</f>
        <v>3317.9</v>
      </c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</row>
    <row r="411" spans="1:23" ht="16.5">
      <c r="A411" s="116" t="s">
        <v>564</v>
      </c>
      <c r="B411" s="89">
        <v>808</v>
      </c>
      <c r="C411" s="69" t="s">
        <v>43</v>
      </c>
      <c r="D411" s="69" t="s">
        <v>790</v>
      </c>
      <c r="E411" s="69" t="s">
        <v>484</v>
      </c>
      <c r="F411" s="69"/>
      <c r="G411" s="84">
        <f>G412</f>
        <v>1465</v>
      </c>
      <c r="H411" s="84">
        <f>H412</f>
        <v>1465</v>
      </c>
      <c r="I411" s="84">
        <f>I412</f>
        <v>1465</v>
      </c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</row>
    <row r="412" spans="1:23" ht="16.5">
      <c r="A412" s="118" t="s">
        <v>836</v>
      </c>
      <c r="B412" s="89">
        <v>808</v>
      </c>
      <c r="C412" s="69" t="s">
        <v>43</v>
      </c>
      <c r="D412" s="69" t="s">
        <v>790</v>
      </c>
      <c r="E412" s="69" t="s">
        <v>484</v>
      </c>
      <c r="F412" s="69" t="s">
        <v>545</v>
      </c>
      <c r="G412" s="84">
        <f>'прил.16'!G584</f>
        <v>1465</v>
      </c>
      <c r="H412" s="84">
        <f>'прил.16'!H584</f>
        <v>1465</v>
      </c>
      <c r="I412" s="84">
        <f>'прил.16'!I584</f>
        <v>1465</v>
      </c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</row>
    <row r="413" spans="1:23" ht="17.25" customHeight="1">
      <c r="A413" s="116" t="s">
        <v>540</v>
      </c>
      <c r="B413" s="89">
        <v>808</v>
      </c>
      <c r="C413" s="69" t="s">
        <v>43</v>
      </c>
      <c r="D413" s="69" t="s">
        <v>790</v>
      </c>
      <c r="E413" s="69" t="s">
        <v>142</v>
      </c>
      <c r="F413" s="69"/>
      <c r="G413" s="84">
        <f>G414+G415+G416</f>
        <v>78738.7</v>
      </c>
      <c r="H413" s="84">
        <f>H414+H415+H416</f>
        <v>76686.6</v>
      </c>
      <c r="I413" s="84">
        <f>I414+I415+I416</f>
        <v>77886</v>
      </c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</row>
    <row r="414" spans="1:23" ht="18" customHeight="1">
      <c r="A414" s="118" t="s">
        <v>140</v>
      </c>
      <c r="B414" s="89">
        <v>808</v>
      </c>
      <c r="C414" s="69" t="s">
        <v>43</v>
      </c>
      <c r="D414" s="69" t="s">
        <v>790</v>
      </c>
      <c r="E414" s="69" t="s">
        <v>142</v>
      </c>
      <c r="F414" s="69" t="s">
        <v>545</v>
      </c>
      <c r="G414" s="84">
        <f>'прил.16'!G586</f>
        <v>78738.7</v>
      </c>
      <c r="H414" s="84">
        <f>'прил.16'!H586</f>
        <v>76686.6</v>
      </c>
      <c r="I414" s="84">
        <f>'прил.16'!I586</f>
        <v>77886</v>
      </c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</row>
    <row r="415" spans="1:23" ht="33" customHeight="1" hidden="1">
      <c r="A415" s="135" t="s">
        <v>552</v>
      </c>
      <c r="B415" s="100">
        <v>808</v>
      </c>
      <c r="C415" s="72" t="s">
        <v>43</v>
      </c>
      <c r="D415" s="72" t="s">
        <v>790</v>
      </c>
      <c r="E415" s="72" t="s">
        <v>142</v>
      </c>
      <c r="F415" s="72" t="s">
        <v>551</v>
      </c>
      <c r="G415" s="84">
        <f>'прил.16'!G587</f>
        <v>0</v>
      </c>
      <c r="H415" s="84">
        <f>'прил.16'!H587</f>
        <v>0</v>
      </c>
      <c r="I415" s="84">
        <f>'прил.16'!I587</f>
        <v>0</v>
      </c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</row>
    <row r="416" spans="1:23" ht="18" customHeight="1" hidden="1">
      <c r="A416" s="136" t="s">
        <v>558</v>
      </c>
      <c r="B416" s="89">
        <v>808</v>
      </c>
      <c r="C416" s="69" t="s">
        <v>43</v>
      </c>
      <c r="D416" s="69" t="s">
        <v>790</v>
      </c>
      <c r="E416" s="69" t="s">
        <v>142</v>
      </c>
      <c r="F416" s="69" t="s">
        <v>559</v>
      </c>
      <c r="G416" s="84">
        <f>'прил.16'!G588</f>
        <v>0</v>
      </c>
      <c r="H416" s="84">
        <f>'прил.16'!H588</f>
        <v>0</v>
      </c>
      <c r="I416" s="84">
        <f>'прил.16'!I588</f>
        <v>0</v>
      </c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</row>
    <row r="417" spans="1:23" ht="16.5">
      <c r="A417" s="116" t="s">
        <v>655</v>
      </c>
      <c r="B417" s="89">
        <v>808</v>
      </c>
      <c r="C417" s="69" t="s">
        <v>43</v>
      </c>
      <c r="D417" s="69" t="s">
        <v>790</v>
      </c>
      <c r="E417" s="69" t="s">
        <v>143</v>
      </c>
      <c r="F417" s="69"/>
      <c r="G417" s="84">
        <f>G418+G420</f>
        <v>38799.799999999996</v>
      </c>
      <c r="H417" s="84">
        <f>H418+H420</f>
        <v>34459.7</v>
      </c>
      <c r="I417" s="84">
        <f>I418+I420</f>
        <v>35335.1</v>
      </c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</row>
    <row r="418" spans="1:23" ht="17.25" customHeight="1">
      <c r="A418" s="116" t="s">
        <v>564</v>
      </c>
      <c r="B418" s="89">
        <v>808</v>
      </c>
      <c r="C418" s="69" t="s">
        <v>43</v>
      </c>
      <c r="D418" s="69" t="s">
        <v>790</v>
      </c>
      <c r="E418" s="69" t="s">
        <v>485</v>
      </c>
      <c r="F418" s="69"/>
      <c r="G418" s="84">
        <f>G419</f>
        <v>1331.6</v>
      </c>
      <c r="H418" s="84">
        <f>H419</f>
        <v>1331.6</v>
      </c>
      <c r="I418" s="84">
        <f>I419</f>
        <v>1331.6</v>
      </c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</row>
    <row r="419" spans="1:23" ht="16.5">
      <c r="A419" s="118" t="s">
        <v>836</v>
      </c>
      <c r="B419" s="89">
        <v>808</v>
      </c>
      <c r="C419" s="69" t="s">
        <v>43</v>
      </c>
      <c r="D419" s="69" t="s">
        <v>790</v>
      </c>
      <c r="E419" s="69" t="s">
        <v>485</v>
      </c>
      <c r="F419" s="69" t="s">
        <v>545</v>
      </c>
      <c r="G419" s="84">
        <f>'прил.16'!G591</f>
        <v>1331.6</v>
      </c>
      <c r="H419" s="84">
        <f>'прил.16'!H591</f>
        <v>1331.6</v>
      </c>
      <c r="I419" s="84">
        <f>'прил.16'!I591</f>
        <v>1331.6</v>
      </c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</row>
    <row r="420" spans="1:23" ht="16.5">
      <c r="A420" s="116" t="s">
        <v>540</v>
      </c>
      <c r="B420" s="89">
        <v>808</v>
      </c>
      <c r="C420" s="69" t="s">
        <v>43</v>
      </c>
      <c r="D420" s="69" t="s">
        <v>790</v>
      </c>
      <c r="E420" s="69" t="s">
        <v>144</v>
      </c>
      <c r="F420" s="69"/>
      <c r="G420" s="84">
        <f>G421</f>
        <v>37468.2</v>
      </c>
      <c r="H420" s="84">
        <f>H421</f>
        <v>33128.1</v>
      </c>
      <c r="I420" s="84">
        <f>I421</f>
        <v>34003.5</v>
      </c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</row>
    <row r="421" spans="1:23" ht="20.25" customHeight="1">
      <c r="A421" s="118" t="s">
        <v>140</v>
      </c>
      <c r="B421" s="89">
        <v>808</v>
      </c>
      <c r="C421" s="69" t="s">
        <v>43</v>
      </c>
      <c r="D421" s="69" t="s">
        <v>790</v>
      </c>
      <c r="E421" s="69" t="s">
        <v>144</v>
      </c>
      <c r="F421" s="69" t="s">
        <v>545</v>
      </c>
      <c r="G421" s="84">
        <f>'прил.16'!G593+'прил.16'!G907</f>
        <v>37468.2</v>
      </c>
      <c r="H421" s="84">
        <f>'прил.16'!H593+'прил.16'!H907</f>
        <v>33128.1</v>
      </c>
      <c r="I421" s="84">
        <f>'прил.16'!I593+'прил.16'!I907</f>
        <v>34003.5</v>
      </c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</row>
    <row r="422" spans="1:23" ht="16.5" customHeight="1">
      <c r="A422" s="116" t="s">
        <v>656</v>
      </c>
      <c r="B422" s="89">
        <v>808</v>
      </c>
      <c r="C422" s="69" t="s">
        <v>43</v>
      </c>
      <c r="D422" s="69" t="s">
        <v>790</v>
      </c>
      <c r="E422" s="69" t="s">
        <v>145</v>
      </c>
      <c r="F422" s="69"/>
      <c r="G422" s="84">
        <f>G423+G425</f>
        <v>40265.200000000004</v>
      </c>
      <c r="H422" s="84">
        <f>H423+H425</f>
        <v>33288.3</v>
      </c>
      <c r="I422" s="84">
        <f>I423+I425</f>
        <v>33785.100000000006</v>
      </c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</row>
    <row r="423" spans="1:23" ht="16.5">
      <c r="A423" s="116" t="s">
        <v>564</v>
      </c>
      <c r="B423" s="89">
        <v>808</v>
      </c>
      <c r="C423" s="69" t="s">
        <v>43</v>
      </c>
      <c r="D423" s="69" t="s">
        <v>790</v>
      </c>
      <c r="E423" s="69" t="s">
        <v>499</v>
      </c>
      <c r="F423" s="69"/>
      <c r="G423" s="84">
        <f>G424</f>
        <v>459.3</v>
      </c>
      <c r="H423" s="84">
        <f>H424</f>
        <v>459.3</v>
      </c>
      <c r="I423" s="84">
        <f>I424</f>
        <v>459.3</v>
      </c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</row>
    <row r="424" spans="1:23" ht="17.25" customHeight="1">
      <c r="A424" s="118" t="s">
        <v>836</v>
      </c>
      <c r="B424" s="89">
        <v>808</v>
      </c>
      <c r="C424" s="69" t="s">
        <v>43</v>
      </c>
      <c r="D424" s="69" t="s">
        <v>790</v>
      </c>
      <c r="E424" s="69" t="s">
        <v>499</v>
      </c>
      <c r="F424" s="69" t="s">
        <v>545</v>
      </c>
      <c r="G424" s="84">
        <f>'прил.16'!G596</f>
        <v>459.3</v>
      </c>
      <c r="H424" s="84">
        <f>'прил.16'!H596</f>
        <v>459.3</v>
      </c>
      <c r="I424" s="84">
        <f>'прил.16'!I596</f>
        <v>459.3</v>
      </c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</row>
    <row r="425" spans="1:23" ht="20.25" customHeight="1">
      <c r="A425" s="116" t="s">
        <v>540</v>
      </c>
      <c r="B425" s="89">
        <v>808</v>
      </c>
      <c r="C425" s="69" t="s">
        <v>43</v>
      </c>
      <c r="D425" s="69" t="s">
        <v>790</v>
      </c>
      <c r="E425" s="69" t="s">
        <v>146</v>
      </c>
      <c r="F425" s="69"/>
      <c r="G425" s="84">
        <f>G426</f>
        <v>39805.9</v>
      </c>
      <c r="H425" s="84">
        <f>H426</f>
        <v>32829</v>
      </c>
      <c r="I425" s="84">
        <f>I426</f>
        <v>33325.8</v>
      </c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</row>
    <row r="426" spans="1:23" s="19" customFormat="1" ht="19.5" customHeight="1">
      <c r="A426" s="118" t="s">
        <v>140</v>
      </c>
      <c r="B426" s="89">
        <v>808</v>
      </c>
      <c r="C426" s="69" t="s">
        <v>43</v>
      </c>
      <c r="D426" s="69" t="s">
        <v>790</v>
      </c>
      <c r="E426" s="69" t="s">
        <v>146</v>
      </c>
      <c r="F426" s="69" t="s">
        <v>545</v>
      </c>
      <c r="G426" s="84">
        <f>'прил.16'!G598</f>
        <v>39805.9</v>
      </c>
      <c r="H426" s="84">
        <f>'прил.16'!H598</f>
        <v>32829</v>
      </c>
      <c r="I426" s="84">
        <f>'прил.16'!I598</f>
        <v>33325.8</v>
      </c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</row>
    <row r="427" spans="1:23" s="20" customFormat="1" ht="23.25" customHeight="1">
      <c r="A427" s="118" t="s">
        <v>657</v>
      </c>
      <c r="B427" s="89">
        <v>808</v>
      </c>
      <c r="C427" s="69" t="s">
        <v>43</v>
      </c>
      <c r="D427" s="69" t="s">
        <v>790</v>
      </c>
      <c r="E427" s="69" t="s">
        <v>160</v>
      </c>
      <c r="F427" s="69"/>
      <c r="G427" s="84">
        <f>G428+G430</f>
        <v>41137.600000000006</v>
      </c>
      <c r="H427" s="84">
        <f>H428+H430</f>
        <v>37470.8</v>
      </c>
      <c r="I427" s="84">
        <f>I428+I430</f>
        <v>37728.3</v>
      </c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</row>
    <row r="428" spans="1:23" ht="17.25" customHeight="1">
      <c r="A428" s="116" t="s">
        <v>564</v>
      </c>
      <c r="B428" s="89">
        <v>808</v>
      </c>
      <c r="C428" s="69" t="s">
        <v>43</v>
      </c>
      <c r="D428" s="69" t="s">
        <v>790</v>
      </c>
      <c r="E428" s="69" t="s">
        <v>500</v>
      </c>
      <c r="F428" s="69"/>
      <c r="G428" s="84">
        <f>G429</f>
        <v>335.8</v>
      </c>
      <c r="H428" s="84">
        <f>H429</f>
        <v>335.8</v>
      </c>
      <c r="I428" s="84">
        <f>I429</f>
        <v>335.8</v>
      </c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</row>
    <row r="429" spans="1:23" ht="17.25" customHeight="1">
      <c r="A429" s="118" t="s">
        <v>836</v>
      </c>
      <c r="B429" s="89">
        <v>808</v>
      </c>
      <c r="C429" s="69" t="s">
        <v>43</v>
      </c>
      <c r="D429" s="69" t="s">
        <v>790</v>
      </c>
      <c r="E429" s="69" t="s">
        <v>500</v>
      </c>
      <c r="F429" s="69" t="s">
        <v>545</v>
      </c>
      <c r="G429" s="84">
        <f>'прил.16'!G601</f>
        <v>335.8</v>
      </c>
      <c r="H429" s="84">
        <f>'прил.16'!H601</f>
        <v>335.8</v>
      </c>
      <c r="I429" s="84">
        <f>'прил.16'!I601</f>
        <v>335.8</v>
      </c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</row>
    <row r="430" spans="1:23" ht="16.5">
      <c r="A430" s="116" t="s">
        <v>540</v>
      </c>
      <c r="B430" s="89">
        <v>808</v>
      </c>
      <c r="C430" s="69" t="s">
        <v>43</v>
      </c>
      <c r="D430" s="69" t="s">
        <v>790</v>
      </c>
      <c r="E430" s="69" t="s">
        <v>161</v>
      </c>
      <c r="F430" s="69"/>
      <c r="G430" s="84">
        <f>G431</f>
        <v>40801.8</v>
      </c>
      <c r="H430" s="84">
        <f>H431</f>
        <v>37135</v>
      </c>
      <c r="I430" s="84">
        <f>I431</f>
        <v>37392.5</v>
      </c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</row>
    <row r="431" spans="1:23" ht="16.5">
      <c r="A431" s="118" t="s">
        <v>140</v>
      </c>
      <c r="B431" s="89">
        <v>808</v>
      </c>
      <c r="C431" s="69" t="s">
        <v>43</v>
      </c>
      <c r="D431" s="69" t="s">
        <v>790</v>
      </c>
      <c r="E431" s="69" t="s">
        <v>161</v>
      </c>
      <c r="F431" s="69" t="s">
        <v>545</v>
      </c>
      <c r="G431" s="84">
        <f>'прил.16'!G603</f>
        <v>40801.8</v>
      </c>
      <c r="H431" s="84">
        <f>'прил.16'!H603</f>
        <v>37135</v>
      </c>
      <c r="I431" s="84">
        <f>'прил.16'!I603</f>
        <v>37392.5</v>
      </c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</row>
    <row r="432" spans="1:23" ht="36" customHeight="1" hidden="1">
      <c r="A432" s="118" t="s">
        <v>658</v>
      </c>
      <c r="B432" s="89">
        <v>808</v>
      </c>
      <c r="C432" s="69" t="s">
        <v>43</v>
      </c>
      <c r="D432" s="69" t="s">
        <v>790</v>
      </c>
      <c r="E432" s="69" t="s">
        <v>162</v>
      </c>
      <c r="F432" s="69"/>
      <c r="G432" s="84">
        <f aca="true" t="shared" si="37" ref="G432:I433">G433</f>
        <v>5582.5</v>
      </c>
      <c r="H432" s="84">
        <f t="shared" si="37"/>
        <v>0</v>
      </c>
      <c r="I432" s="84">
        <f t="shared" si="37"/>
        <v>0</v>
      </c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</row>
    <row r="433" spans="1:23" ht="33" customHeight="1" hidden="1">
      <c r="A433" s="119" t="s">
        <v>659</v>
      </c>
      <c r="B433" s="89">
        <v>808</v>
      </c>
      <c r="C433" s="69" t="s">
        <v>43</v>
      </c>
      <c r="D433" s="69" t="s">
        <v>790</v>
      </c>
      <c r="E433" s="69" t="s">
        <v>164</v>
      </c>
      <c r="F433" s="69"/>
      <c r="G433" s="84">
        <f t="shared" si="37"/>
        <v>5582.5</v>
      </c>
      <c r="H433" s="84">
        <f t="shared" si="37"/>
        <v>0</v>
      </c>
      <c r="I433" s="84">
        <f t="shared" si="37"/>
        <v>0</v>
      </c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</row>
    <row r="434" spans="1:23" ht="17.25" customHeight="1" hidden="1">
      <c r="A434" s="119" t="s">
        <v>660</v>
      </c>
      <c r="B434" s="89">
        <v>808</v>
      </c>
      <c r="C434" s="69" t="s">
        <v>43</v>
      </c>
      <c r="D434" s="69" t="s">
        <v>790</v>
      </c>
      <c r="E434" s="69" t="s">
        <v>164</v>
      </c>
      <c r="F434" s="69" t="s">
        <v>284</v>
      </c>
      <c r="G434" s="84">
        <f>'прил.16'!G608+'прил.16'!G122+'прил.16'!G386</f>
        <v>5582.5</v>
      </c>
      <c r="H434" s="84">
        <f>'прил.16'!H608+'прил.16'!H122+'прил.16'!H386</f>
        <v>0</v>
      </c>
      <c r="I434" s="84">
        <f>'прил.16'!I608+'прил.16'!I122+'прил.16'!I386</f>
        <v>0</v>
      </c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</row>
    <row r="435" spans="1:23" ht="17.25" customHeight="1">
      <c r="A435" s="120" t="s">
        <v>380</v>
      </c>
      <c r="B435" s="89"/>
      <c r="C435" s="69" t="s">
        <v>43</v>
      </c>
      <c r="D435" s="69" t="s">
        <v>790</v>
      </c>
      <c r="E435" s="69" t="s">
        <v>381</v>
      </c>
      <c r="F435" s="69"/>
      <c r="G435" s="84">
        <f>G436+G438+G440+G442</f>
        <v>3594.2</v>
      </c>
      <c r="H435" s="84">
        <f>H436+H438+H440+H442</f>
        <v>157</v>
      </c>
      <c r="I435" s="84">
        <f>I436+I438+I440+I442</f>
        <v>387.5</v>
      </c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</row>
    <row r="436" spans="1:23" ht="35.25" customHeight="1" hidden="1">
      <c r="A436" s="118" t="s">
        <v>661</v>
      </c>
      <c r="B436" s="89"/>
      <c r="C436" s="69" t="s">
        <v>43</v>
      </c>
      <c r="D436" s="69" t="s">
        <v>790</v>
      </c>
      <c r="E436" s="69" t="s">
        <v>299</v>
      </c>
      <c r="F436" s="69"/>
      <c r="G436" s="84">
        <f>G437</f>
        <v>350</v>
      </c>
      <c r="H436" s="84">
        <f>H437</f>
        <v>0</v>
      </c>
      <c r="I436" s="84">
        <f>I437</f>
        <v>0</v>
      </c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</row>
    <row r="437" spans="1:23" ht="33.75" customHeight="1" hidden="1">
      <c r="A437" s="119" t="s">
        <v>784</v>
      </c>
      <c r="B437" s="89"/>
      <c r="C437" s="69" t="s">
        <v>43</v>
      </c>
      <c r="D437" s="69" t="s">
        <v>790</v>
      </c>
      <c r="E437" s="69" t="s">
        <v>299</v>
      </c>
      <c r="F437" s="69" t="s">
        <v>285</v>
      </c>
      <c r="G437" s="84">
        <f>'прил.16'!G611</f>
        <v>350</v>
      </c>
      <c r="H437" s="84">
        <f>'прил.16'!H611</f>
        <v>0</v>
      </c>
      <c r="I437" s="84">
        <f>'прил.16'!I611</f>
        <v>0</v>
      </c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</row>
    <row r="438" spans="1:23" ht="34.5" customHeight="1" hidden="1">
      <c r="A438" s="119" t="s">
        <v>662</v>
      </c>
      <c r="B438" s="89"/>
      <c r="C438" s="69" t="s">
        <v>43</v>
      </c>
      <c r="D438" s="69" t="s">
        <v>790</v>
      </c>
      <c r="E438" s="69" t="s">
        <v>281</v>
      </c>
      <c r="F438" s="69"/>
      <c r="G438" s="84">
        <f>G439</f>
        <v>2774</v>
      </c>
      <c r="H438" s="84">
        <f>H439</f>
        <v>0</v>
      </c>
      <c r="I438" s="84">
        <f>I439</f>
        <v>0</v>
      </c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</row>
    <row r="439" spans="1:23" ht="35.25" customHeight="1" hidden="1">
      <c r="A439" s="119" t="s">
        <v>784</v>
      </c>
      <c r="B439" s="89"/>
      <c r="C439" s="69" t="s">
        <v>43</v>
      </c>
      <c r="D439" s="69" t="s">
        <v>790</v>
      </c>
      <c r="E439" s="69" t="s">
        <v>281</v>
      </c>
      <c r="F439" s="69" t="s">
        <v>285</v>
      </c>
      <c r="G439" s="84">
        <f>'прил.16'!G613</f>
        <v>2774</v>
      </c>
      <c r="H439" s="84">
        <f>'прил.16'!H613</f>
        <v>0</v>
      </c>
      <c r="I439" s="84">
        <f>'прил.16'!I613</f>
        <v>0</v>
      </c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</row>
    <row r="440" spans="1:23" ht="53.25" customHeight="1">
      <c r="A440" s="132" t="s">
        <v>150</v>
      </c>
      <c r="B440" s="89"/>
      <c r="C440" s="69" t="s">
        <v>43</v>
      </c>
      <c r="D440" s="69" t="s">
        <v>790</v>
      </c>
      <c r="E440" s="69" t="s">
        <v>427</v>
      </c>
      <c r="F440" s="69"/>
      <c r="G440" s="84">
        <f>G441</f>
        <v>100</v>
      </c>
      <c r="H440" s="84">
        <f>H441</f>
        <v>100</v>
      </c>
      <c r="I440" s="84">
        <f>I441</f>
        <v>100</v>
      </c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</row>
    <row r="441" spans="1:23" ht="35.25" customHeight="1">
      <c r="A441" s="119" t="s">
        <v>784</v>
      </c>
      <c r="B441" s="89"/>
      <c r="C441" s="69" t="s">
        <v>43</v>
      </c>
      <c r="D441" s="69" t="s">
        <v>790</v>
      </c>
      <c r="E441" s="69" t="s">
        <v>427</v>
      </c>
      <c r="F441" s="69" t="s">
        <v>285</v>
      </c>
      <c r="G441" s="84">
        <f>'прил.16'!G615</f>
        <v>100</v>
      </c>
      <c r="H441" s="84">
        <f>'прил.16'!H615</f>
        <v>100</v>
      </c>
      <c r="I441" s="84">
        <f>'прил.16'!I615</f>
        <v>100</v>
      </c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</row>
    <row r="442" spans="1:23" ht="36.75" customHeight="1">
      <c r="A442" s="124" t="s">
        <v>149</v>
      </c>
      <c r="B442" s="89"/>
      <c r="C442" s="69" t="s">
        <v>43</v>
      </c>
      <c r="D442" s="69" t="s">
        <v>790</v>
      </c>
      <c r="E442" s="69" t="s">
        <v>433</v>
      </c>
      <c r="F442" s="69"/>
      <c r="G442" s="84">
        <f>G443</f>
        <v>370.2</v>
      </c>
      <c r="H442" s="84">
        <f>H443</f>
        <v>57</v>
      </c>
      <c r="I442" s="84">
        <f>I443</f>
        <v>287.5</v>
      </c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</row>
    <row r="443" spans="1:23" ht="35.25" customHeight="1">
      <c r="A443" s="119" t="s">
        <v>784</v>
      </c>
      <c r="B443" s="89"/>
      <c r="C443" s="69" t="s">
        <v>43</v>
      </c>
      <c r="D443" s="69" t="s">
        <v>790</v>
      </c>
      <c r="E443" s="69" t="s">
        <v>433</v>
      </c>
      <c r="F443" s="69" t="s">
        <v>285</v>
      </c>
      <c r="G443" s="84">
        <f>'прил.16'!G617</f>
        <v>370.2</v>
      </c>
      <c r="H443" s="84">
        <f>'прил.16'!H617</f>
        <v>57</v>
      </c>
      <c r="I443" s="84">
        <f>'прил.16'!I617</f>
        <v>287.5</v>
      </c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</row>
    <row r="444" spans="1:23" ht="20.25" customHeight="1">
      <c r="A444" s="118" t="s">
        <v>663</v>
      </c>
      <c r="B444" s="89">
        <v>808</v>
      </c>
      <c r="C444" s="69" t="s">
        <v>43</v>
      </c>
      <c r="D444" s="69" t="s">
        <v>793</v>
      </c>
      <c r="E444" s="69"/>
      <c r="F444" s="69"/>
      <c r="G444" s="84">
        <f>G445+G448+G458+G463</f>
        <v>13372.9</v>
      </c>
      <c r="H444" s="84">
        <f>H445+H448+H458+H463</f>
        <v>13568.100000000002</v>
      </c>
      <c r="I444" s="84">
        <f>I445+I448+I458+I463</f>
        <v>13754.400000000001</v>
      </c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</row>
    <row r="445" spans="1:23" ht="51" customHeight="1">
      <c r="A445" s="118" t="s">
        <v>26</v>
      </c>
      <c r="B445" s="89">
        <v>808</v>
      </c>
      <c r="C445" s="69" t="s">
        <v>43</v>
      </c>
      <c r="D445" s="69" t="s">
        <v>793</v>
      </c>
      <c r="E445" s="69" t="s">
        <v>27</v>
      </c>
      <c r="F445" s="69"/>
      <c r="G445" s="84">
        <f aca="true" t="shared" si="38" ref="G445:I446">G446</f>
        <v>4333</v>
      </c>
      <c r="H445" s="84">
        <f t="shared" si="38"/>
        <v>4283.200000000001</v>
      </c>
      <c r="I445" s="84">
        <f t="shared" si="38"/>
        <v>4294.200000000001</v>
      </c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</row>
    <row r="446" spans="1:23" s="19" customFormat="1" ht="17.25" customHeight="1">
      <c r="A446" s="118" t="s">
        <v>560</v>
      </c>
      <c r="B446" s="89">
        <v>808</v>
      </c>
      <c r="C446" s="69" t="s">
        <v>43</v>
      </c>
      <c r="D446" s="69" t="s">
        <v>793</v>
      </c>
      <c r="E446" s="69" t="s">
        <v>29</v>
      </c>
      <c r="F446" s="69"/>
      <c r="G446" s="84">
        <f t="shared" si="38"/>
        <v>4333</v>
      </c>
      <c r="H446" s="84">
        <f t="shared" si="38"/>
        <v>4283.200000000001</v>
      </c>
      <c r="I446" s="84">
        <f t="shared" si="38"/>
        <v>4294.200000000001</v>
      </c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</row>
    <row r="447" spans="1:23" s="20" customFormat="1" ht="18.75" customHeight="1">
      <c r="A447" s="118" t="s">
        <v>346</v>
      </c>
      <c r="B447" s="89">
        <v>808</v>
      </c>
      <c r="C447" s="69" t="s">
        <v>43</v>
      </c>
      <c r="D447" s="69" t="s">
        <v>793</v>
      </c>
      <c r="E447" s="69" t="s">
        <v>29</v>
      </c>
      <c r="F447" s="69" t="s">
        <v>197</v>
      </c>
      <c r="G447" s="84">
        <f>'прил.16'!G621</f>
        <v>4333</v>
      </c>
      <c r="H447" s="84">
        <f>'прил.16'!H621</f>
        <v>4283.200000000001</v>
      </c>
      <c r="I447" s="84">
        <f>'прил.16'!I621</f>
        <v>4294.200000000001</v>
      </c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</row>
    <row r="448" spans="1:23" ht="33" customHeight="1" hidden="1">
      <c r="A448" s="118" t="s">
        <v>391</v>
      </c>
      <c r="B448" s="89">
        <v>841</v>
      </c>
      <c r="C448" s="69" t="s">
        <v>43</v>
      </c>
      <c r="D448" s="69" t="s">
        <v>793</v>
      </c>
      <c r="E448" s="69" t="s">
        <v>392</v>
      </c>
      <c r="F448" s="69"/>
      <c r="G448" s="84">
        <f>G449+G453</f>
        <v>0</v>
      </c>
      <c r="H448" s="84">
        <f>H449+H453</f>
        <v>0</v>
      </c>
      <c r="I448" s="84">
        <f>I449+I453</f>
        <v>0</v>
      </c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</row>
    <row r="449" spans="1:23" ht="52.5" customHeight="1" hidden="1">
      <c r="A449" s="118" t="s">
        <v>57</v>
      </c>
      <c r="B449" s="89">
        <v>841</v>
      </c>
      <c r="C449" s="69" t="s">
        <v>43</v>
      </c>
      <c r="D449" s="69" t="s">
        <v>793</v>
      </c>
      <c r="E449" s="69" t="s">
        <v>54</v>
      </c>
      <c r="F449" s="69"/>
      <c r="G449" s="84">
        <f>G450</f>
        <v>0</v>
      </c>
      <c r="H449" s="84">
        <f>H450</f>
        <v>0</v>
      </c>
      <c r="I449" s="84">
        <f>I450</f>
        <v>0</v>
      </c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</row>
    <row r="450" spans="1:23" ht="33" customHeight="1" hidden="1">
      <c r="A450" s="118" t="s">
        <v>188</v>
      </c>
      <c r="B450" s="89">
        <v>841</v>
      </c>
      <c r="C450" s="69" t="s">
        <v>43</v>
      </c>
      <c r="D450" s="69" t="s">
        <v>793</v>
      </c>
      <c r="E450" s="69" t="s">
        <v>394</v>
      </c>
      <c r="F450" s="69"/>
      <c r="G450" s="84">
        <f>SUM(G451:G452)</f>
        <v>0</v>
      </c>
      <c r="H450" s="84">
        <f>SUM(H451:H452)</f>
        <v>0</v>
      </c>
      <c r="I450" s="84">
        <f>SUM(I451:I452)</f>
        <v>0</v>
      </c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</row>
    <row r="451" spans="1:23" ht="19.5" customHeight="1" hidden="1">
      <c r="A451" s="118" t="s">
        <v>773</v>
      </c>
      <c r="B451" s="89">
        <v>841</v>
      </c>
      <c r="C451" s="69" t="s">
        <v>43</v>
      </c>
      <c r="D451" s="69" t="s">
        <v>793</v>
      </c>
      <c r="E451" s="69" t="s">
        <v>394</v>
      </c>
      <c r="F451" s="69" t="s">
        <v>72</v>
      </c>
      <c r="G451" s="94">
        <f>'прил.16'!G1009</f>
        <v>0</v>
      </c>
      <c r="H451" s="94">
        <f>'прил.16'!H1009</f>
        <v>0</v>
      </c>
      <c r="I451" s="94">
        <f>'прил.16'!I1009</f>
        <v>0</v>
      </c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</row>
    <row r="452" spans="1:23" ht="36" customHeight="1" hidden="1">
      <c r="A452" s="119" t="s">
        <v>251</v>
      </c>
      <c r="B452" s="89">
        <v>841</v>
      </c>
      <c r="C452" s="69" t="s">
        <v>43</v>
      </c>
      <c r="D452" s="69" t="s">
        <v>793</v>
      </c>
      <c r="E452" s="69" t="s">
        <v>394</v>
      </c>
      <c r="F452" s="69" t="s">
        <v>73</v>
      </c>
      <c r="G452" s="94">
        <f>'прил.16'!G1010</f>
        <v>0</v>
      </c>
      <c r="H452" s="94">
        <f>'прил.16'!H1010</f>
        <v>0</v>
      </c>
      <c r="I452" s="94">
        <f>'прил.16'!I1010</f>
        <v>0</v>
      </c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</row>
    <row r="453" spans="1:23" ht="16.5" customHeight="1" hidden="1">
      <c r="A453" s="118" t="s">
        <v>774</v>
      </c>
      <c r="B453" s="89">
        <v>841</v>
      </c>
      <c r="C453" s="69" t="s">
        <v>43</v>
      </c>
      <c r="D453" s="69" t="s">
        <v>793</v>
      </c>
      <c r="E453" s="69" t="s">
        <v>800</v>
      </c>
      <c r="F453" s="69"/>
      <c r="G453" s="94">
        <f>G454+G456</f>
        <v>0</v>
      </c>
      <c r="H453" s="94">
        <f>H454+H456</f>
        <v>0</v>
      </c>
      <c r="I453" s="94">
        <f>I454+I456</f>
        <v>0</v>
      </c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</row>
    <row r="454" spans="1:23" ht="18" customHeight="1" hidden="1">
      <c r="A454" s="118" t="s">
        <v>753</v>
      </c>
      <c r="B454" s="89">
        <v>841</v>
      </c>
      <c r="C454" s="69" t="s">
        <v>43</v>
      </c>
      <c r="D454" s="69" t="s">
        <v>793</v>
      </c>
      <c r="E454" s="69" t="s">
        <v>803</v>
      </c>
      <c r="F454" s="69"/>
      <c r="G454" s="94">
        <f>G455</f>
        <v>0</v>
      </c>
      <c r="H454" s="94">
        <f>H455</f>
        <v>0</v>
      </c>
      <c r="I454" s="94">
        <f>I455</f>
        <v>0</v>
      </c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</row>
    <row r="455" spans="1:23" ht="16.5" customHeight="1" hidden="1">
      <c r="A455" s="119" t="s">
        <v>401</v>
      </c>
      <c r="B455" s="89">
        <v>841</v>
      </c>
      <c r="C455" s="69" t="s">
        <v>43</v>
      </c>
      <c r="D455" s="69" t="s">
        <v>793</v>
      </c>
      <c r="E455" s="69" t="s">
        <v>803</v>
      </c>
      <c r="F455" s="69" t="s">
        <v>827</v>
      </c>
      <c r="G455" s="94">
        <f>'прил.16'!G1013</f>
        <v>0</v>
      </c>
      <c r="H455" s="94">
        <f>'прил.16'!H1013</f>
        <v>0</v>
      </c>
      <c r="I455" s="94">
        <f>'прил.16'!I1013</f>
        <v>0</v>
      </c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</row>
    <row r="456" spans="1:23" ht="18" customHeight="1" hidden="1">
      <c r="A456" s="119" t="s">
        <v>775</v>
      </c>
      <c r="B456" s="89">
        <v>841</v>
      </c>
      <c r="C456" s="69" t="s">
        <v>43</v>
      </c>
      <c r="D456" s="69" t="s">
        <v>793</v>
      </c>
      <c r="E456" s="69" t="s">
        <v>810</v>
      </c>
      <c r="F456" s="69"/>
      <c r="G456" s="94">
        <f>G457</f>
        <v>0</v>
      </c>
      <c r="H456" s="94">
        <f>H457</f>
        <v>0</v>
      </c>
      <c r="I456" s="94">
        <f>I457</f>
        <v>0</v>
      </c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</row>
    <row r="457" spans="1:23" ht="17.25" customHeight="1" hidden="1">
      <c r="A457" s="119" t="s">
        <v>401</v>
      </c>
      <c r="B457" s="89">
        <v>841</v>
      </c>
      <c r="C457" s="69" t="s">
        <v>43</v>
      </c>
      <c r="D457" s="69" t="s">
        <v>793</v>
      </c>
      <c r="E457" s="69" t="s">
        <v>810</v>
      </c>
      <c r="F457" s="69" t="s">
        <v>827</v>
      </c>
      <c r="G457" s="94">
        <f>'прил.16'!G1015</f>
        <v>0</v>
      </c>
      <c r="H457" s="94">
        <f>'прил.16'!H1015</f>
        <v>0</v>
      </c>
      <c r="I457" s="94">
        <f>'прил.16'!I1015</f>
        <v>0</v>
      </c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</row>
    <row r="458" spans="1:23" ht="51" customHeight="1">
      <c r="A458" s="118" t="s">
        <v>652</v>
      </c>
      <c r="B458" s="89">
        <v>808</v>
      </c>
      <c r="C458" s="69" t="s">
        <v>43</v>
      </c>
      <c r="D458" s="69" t="s">
        <v>793</v>
      </c>
      <c r="E458" s="69" t="s">
        <v>532</v>
      </c>
      <c r="F458" s="69"/>
      <c r="G458" s="84">
        <f>G459+G461</f>
        <v>8217.1</v>
      </c>
      <c r="H458" s="84">
        <f>H459+H461</f>
        <v>8322.2</v>
      </c>
      <c r="I458" s="84">
        <f>I459+I461</f>
        <v>8432.2</v>
      </c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</row>
    <row r="459" spans="1:23" ht="16.5">
      <c r="A459" s="116" t="s">
        <v>564</v>
      </c>
      <c r="B459" s="89">
        <v>808</v>
      </c>
      <c r="C459" s="69" t="s">
        <v>43</v>
      </c>
      <c r="D459" s="69" t="s">
        <v>793</v>
      </c>
      <c r="E459" s="69" t="s">
        <v>479</v>
      </c>
      <c r="F459" s="69"/>
      <c r="G459" s="84">
        <f>G460</f>
        <v>60.2</v>
      </c>
      <c r="H459" s="84">
        <f>H460</f>
        <v>60.2</v>
      </c>
      <c r="I459" s="84">
        <f>I460</f>
        <v>60.2</v>
      </c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</row>
    <row r="460" spans="1:23" ht="16.5">
      <c r="A460" s="118" t="s">
        <v>836</v>
      </c>
      <c r="B460" s="89">
        <v>808</v>
      </c>
      <c r="C460" s="69" t="s">
        <v>43</v>
      </c>
      <c r="D460" s="69" t="s">
        <v>793</v>
      </c>
      <c r="E460" s="69" t="s">
        <v>479</v>
      </c>
      <c r="F460" s="69" t="s">
        <v>545</v>
      </c>
      <c r="G460" s="84">
        <f>'прил.16'!G624</f>
        <v>60.2</v>
      </c>
      <c r="H460" s="84">
        <f>'прил.16'!H624</f>
        <v>60.2</v>
      </c>
      <c r="I460" s="84">
        <f>'прил.16'!I624</f>
        <v>60.2</v>
      </c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</row>
    <row r="461" spans="1:23" ht="16.5">
      <c r="A461" s="116" t="s">
        <v>540</v>
      </c>
      <c r="B461" s="89">
        <v>808</v>
      </c>
      <c r="C461" s="69" t="s">
        <v>43</v>
      </c>
      <c r="D461" s="69" t="s">
        <v>793</v>
      </c>
      <c r="E461" s="69" t="s">
        <v>533</v>
      </c>
      <c r="F461" s="69"/>
      <c r="G461" s="84">
        <f>G462</f>
        <v>8156.9</v>
      </c>
      <c r="H461" s="84">
        <f>H462</f>
        <v>8262</v>
      </c>
      <c r="I461" s="84">
        <f>I462</f>
        <v>8372</v>
      </c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</row>
    <row r="462" spans="1:23" ht="18.75" customHeight="1">
      <c r="A462" s="118" t="s">
        <v>836</v>
      </c>
      <c r="B462" s="89">
        <v>808</v>
      </c>
      <c r="C462" s="69" t="s">
        <v>43</v>
      </c>
      <c r="D462" s="69" t="s">
        <v>793</v>
      </c>
      <c r="E462" s="69" t="s">
        <v>533</v>
      </c>
      <c r="F462" s="69" t="s">
        <v>545</v>
      </c>
      <c r="G462" s="84">
        <f>'прил.16'!G626</f>
        <v>8156.9</v>
      </c>
      <c r="H462" s="84">
        <f>'прил.16'!H626</f>
        <v>8262</v>
      </c>
      <c r="I462" s="84">
        <f>'прил.16'!I626</f>
        <v>8372</v>
      </c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</row>
    <row r="463" spans="1:23" ht="16.5">
      <c r="A463" s="116" t="s">
        <v>349</v>
      </c>
      <c r="B463" s="89">
        <v>808</v>
      </c>
      <c r="C463" s="69" t="s">
        <v>43</v>
      </c>
      <c r="D463" s="69" t="s">
        <v>793</v>
      </c>
      <c r="E463" s="69" t="s">
        <v>343</v>
      </c>
      <c r="F463" s="69"/>
      <c r="G463" s="84">
        <f>G464</f>
        <v>822.8</v>
      </c>
      <c r="H463" s="84">
        <f>H464</f>
        <v>962.7</v>
      </c>
      <c r="I463" s="84">
        <f>I464</f>
        <v>1028</v>
      </c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</row>
    <row r="464" spans="1:23" ht="16.5">
      <c r="A464" s="116" t="s">
        <v>380</v>
      </c>
      <c r="B464" s="89"/>
      <c r="C464" s="69" t="s">
        <v>43</v>
      </c>
      <c r="D464" s="69" t="s">
        <v>793</v>
      </c>
      <c r="E464" s="69" t="s">
        <v>344</v>
      </c>
      <c r="F464" s="69"/>
      <c r="G464" s="84">
        <f>G465+G467+G469</f>
        <v>822.8</v>
      </c>
      <c r="H464" s="84">
        <f>H465+H467+H469</f>
        <v>962.7</v>
      </c>
      <c r="I464" s="84">
        <f>I465+I467+I469</f>
        <v>1028</v>
      </c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</row>
    <row r="465" spans="1:23" s="19" customFormat="1" ht="17.25" customHeight="1">
      <c r="A465" s="116" t="s">
        <v>199</v>
      </c>
      <c r="B465" s="89">
        <v>808</v>
      </c>
      <c r="C465" s="69" t="s">
        <v>43</v>
      </c>
      <c r="D465" s="69" t="s">
        <v>793</v>
      </c>
      <c r="E465" s="69" t="s">
        <v>354</v>
      </c>
      <c r="F465" s="69"/>
      <c r="G465" s="84">
        <f>G466</f>
        <v>662.8</v>
      </c>
      <c r="H465" s="84">
        <f>H466</f>
        <v>826.7</v>
      </c>
      <c r="I465" s="84">
        <f>I466</f>
        <v>934</v>
      </c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</row>
    <row r="466" spans="1:23" s="20" customFormat="1" ht="33">
      <c r="A466" s="119" t="s">
        <v>165</v>
      </c>
      <c r="B466" s="89">
        <v>808</v>
      </c>
      <c r="C466" s="69" t="s">
        <v>43</v>
      </c>
      <c r="D466" s="69" t="s">
        <v>793</v>
      </c>
      <c r="E466" s="69" t="s">
        <v>354</v>
      </c>
      <c r="F466" s="69" t="s">
        <v>285</v>
      </c>
      <c r="G466" s="84">
        <f>'прил.16'!G630</f>
        <v>662.8</v>
      </c>
      <c r="H466" s="84">
        <f>'прил.16'!H630</f>
        <v>826.7</v>
      </c>
      <c r="I466" s="84">
        <f>'прил.16'!I630</f>
        <v>934</v>
      </c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</row>
    <row r="467" spans="1:23" ht="18" customHeight="1">
      <c r="A467" s="116" t="s">
        <v>776</v>
      </c>
      <c r="B467" s="89">
        <v>808</v>
      </c>
      <c r="C467" s="69" t="s">
        <v>43</v>
      </c>
      <c r="D467" s="69" t="s">
        <v>793</v>
      </c>
      <c r="E467" s="69" t="s">
        <v>350</v>
      </c>
      <c r="F467" s="69"/>
      <c r="G467" s="84">
        <f>G468</f>
        <v>85</v>
      </c>
      <c r="H467" s="84">
        <f>H468</f>
        <v>136</v>
      </c>
      <c r="I467" s="84">
        <f>I468</f>
        <v>94</v>
      </c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</row>
    <row r="468" spans="1:23" ht="34.5" customHeight="1">
      <c r="A468" s="119" t="s">
        <v>784</v>
      </c>
      <c r="B468" s="89">
        <v>808</v>
      </c>
      <c r="C468" s="69" t="s">
        <v>43</v>
      </c>
      <c r="D468" s="69" t="s">
        <v>793</v>
      </c>
      <c r="E468" s="69" t="s">
        <v>350</v>
      </c>
      <c r="F468" s="69" t="s">
        <v>285</v>
      </c>
      <c r="G468" s="84">
        <f>'прил.16'!G632</f>
        <v>85</v>
      </c>
      <c r="H468" s="84">
        <f>'прил.16'!H632</f>
        <v>136</v>
      </c>
      <c r="I468" s="84">
        <f>'прил.16'!I632</f>
        <v>94</v>
      </c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</row>
    <row r="469" spans="1:23" ht="36.75" customHeight="1" hidden="1">
      <c r="A469" s="120" t="s">
        <v>361</v>
      </c>
      <c r="B469" s="89"/>
      <c r="C469" s="69" t="s">
        <v>43</v>
      </c>
      <c r="D469" s="69" t="s">
        <v>793</v>
      </c>
      <c r="E469" s="69" t="s">
        <v>357</v>
      </c>
      <c r="F469" s="69"/>
      <c r="G469" s="84">
        <f>G470</f>
        <v>75</v>
      </c>
      <c r="H469" s="84">
        <f>H470</f>
        <v>0</v>
      </c>
      <c r="I469" s="84">
        <f>I470</f>
        <v>0</v>
      </c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</row>
    <row r="470" spans="1:23" ht="21.75" customHeight="1" hidden="1">
      <c r="A470" s="120" t="s">
        <v>346</v>
      </c>
      <c r="B470" s="89"/>
      <c r="C470" s="69" t="s">
        <v>43</v>
      </c>
      <c r="D470" s="69" t="s">
        <v>793</v>
      </c>
      <c r="E470" s="69" t="s">
        <v>357</v>
      </c>
      <c r="F470" s="69" t="s">
        <v>197</v>
      </c>
      <c r="G470" s="84">
        <f>'прил.16'!G127</f>
        <v>75</v>
      </c>
      <c r="H470" s="84">
        <f>'прил.16'!H127</f>
        <v>0</v>
      </c>
      <c r="I470" s="84">
        <f>'прил.16'!I127</f>
        <v>0</v>
      </c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</row>
    <row r="471" spans="1:23" ht="16.5">
      <c r="A471" s="116" t="s">
        <v>488</v>
      </c>
      <c r="B471" s="89"/>
      <c r="C471" s="69" t="s">
        <v>40</v>
      </c>
      <c r="D471" s="69"/>
      <c r="E471" s="69"/>
      <c r="F471" s="98"/>
      <c r="G471" s="84">
        <f>G472+G486+G500+G511+G520+G526</f>
        <v>381714.4</v>
      </c>
      <c r="H471" s="84">
        <f>H472+H486+H500+H511+H520+H526</f>
        <v>294968.7</v>
      </c>
      <c r="I471" s="84">
        <f>I472+I486+I500+I511+I520+I526</f>
        <v>283669.2</v>
      </c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</row>
    <row r="472" spans="1:23" ht="16.5">
      <c r="A472" s="116" t="s">
        <v>543</v>
      </c>
      <c r="B472" s="89">
        <v>806</v>
      </c>
      <c r="C472" s="69" t="s">
        <v>40</v>
      </c>
      <c r="D472" s="69" t="s">
        <v>790</v>
      </c>
      <c r="E472" s="69"/>
      <c r="F472" s="98"/>
      <c r="G472" s="84">
        <f>G473+G478+G483</f>
        <v>166789.90000000002</v>
      </c>
      <c r="H472" s="84">
        <f>H473+H478+H483</f>
        <v>81762.2</v>
      </c>
      <c r="I472" s="84">
        <f>I473+I478+I483</f>
        <v>87590.7</v>
      </c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</row>
    <row r="473" spans="1:23" ht="16.5">
      <c r="A473" s="119" t="s">
        <v>664</v>
      </c>
      <c r="B473" s="89">
        <v>806</v>
      </c>
      <c r="C473" s="69" t="s">
        <v>40</v>
      </c>
      <c r="D473" s="69" t="s">
        <v>790</v>
      </c>
      <c r="E473" s="69" t="s">
        <v>121</v>
      </c>
      <c r="F473" s="69"/>
      <c r="G473" s="84">
        <f>G474+G476</f>
        <v>157623.30000000002</v>
      </c>
      <c r="H473" s="84">
        <f>H474+H476</f>
        <v>76052</v>
      </c>
      <c r="I473" s="84">
        <f>I474+I476</f>
        <v>81438.3</v>
      </c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</row>
    <row r="474" spans="1:23" ht="16.5">
      <c r="A474" s="116" t="s">
        <v>564</v>
      </c>
      <c r="B474" s="89">
        <v>806</v>
      </c>
      <c r="C474" s="69" t="s">
        <v>40</v>
      </c>
      <c r="D474" s="69" t="s">
        <v>790</v>
      </c>
      <c r="E474" s="69" t="s">
        <v>480</v>
      </c>
      <c r="F474" s="69"/>
      <c r="G474" s="84">
        <f>G475</f>
        <v>3471.5</v>
      </c>
      <c r="H474" s="84">
        <f>H475</f>
        <v>3471.5</v>
      </c>
      <c r="I474" s="84">
        <f>I475</f>
        <v>3471.5</v>
      </c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</row>
    <row r="475" spans="1:23" ht="16.5">
      <c r="A475" s="118" t="s">
        <v>836</v>
      </c>
      <c r="B475" s="89">
        <v>806</v>
      </c>
      <c r="C475" s="69" t="s">
        <v>40</v>
      </c>
      <c r="D475" s="69" t="s">
        <v>790</v>
      </c>
      <c r="E475" s="69" t="s">
        <v>480</v>
      </c>
      <c r="F475" s="69" t="s">
        <v>545</v>
      </c>
      <c r="G475" s="84">
        <f>'прил.16'!G426</f>
        <v>3471.5</v>
      </c>
      <c r="H475" s="84">
        <f>'прил.16'!H426</f>
        <v>3471.5</v>
      </c>
      <c r="I475" s="84">
        <f>'прил.16'!I426</f>
        <v>3471.5</v>
      </c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</row>
    <row r="476" spans="1:23" ht="16.5">
      <c r="A476" s="116" t="s">
        <v>540</v>
      </c>
      <c r="B476" s="89">
        <v>806</v>
      </c>
      <c r="C476" s="69" t="s">
        <v>40</v>
      </c>
      <c r="D476" s="69" t="s">
        <v>790</v>
      </c>
      <c r="E476" s="69" t="s">
        <v>122</v>
      </c>
      <c r="F476" s="98"/>
      <c r="G476" s="84">
        <f>G477</f>
        <v>154151.80000000002</v>
      </c>
      <c r="H476" s="84">
        <f>H477</f>
        <v>72580.5</v>
      </c>
      <c r="I476" s="84">
        <f>I477</f>
        <v>77966.8</v>
      </c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</row>
    <row r="477" spans="1:23" ht="16.5">
      <c r="A477" s="118" t="s">
        <v>836</v>
      </c>
      <c r="B477" s="89">
        <v>806</v>
      </c>
      <c r="C477" s="69" t="s">
        <v>40</v>
      </c>
      <c r="D477" s="69" t="s">
        <v>790</v>
      </c>
      <c r="E477" s="69" t="s">
        <v>122</v>
      </c>
      <c r="F477" s="69" t="s">
        <v>545</v>
      </c>
      <c r="G477" s="84">
        <f>'прил.16'!G428+'прил.16'!G912</f>
        <v>154151.80000000002</v>
      </c>
      <c r="H477" s="84">
        <f>'прил.16'!H428+'прил.16'!H912</f>
        <v>72580.5</v>
      </c>
      <c r="I477" s="84">
        <f>'прил.16'!I428+'прил.16'!I912</f>
        <v>77966.8</v>
      </c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</row>
    <row r="478" spans="1:23" ht="16.5">
      <c r="A478" s="116" t="s">
        <v>665</v>
      </c>
      <c r="B478" s="89">
        <v>806</v>
      </c>
      <c r="C478" s="69" t="s">
        <v>40</v>
      </c>
      <c r="D478" s="69" t="s">
        <v>790</v>
      </c>
      <c r="E478" s="69" t="s">
        <v>123</v>
      </c>
      <c r="F478" s="69"/>
      <c r="G478" s="84">
        <f>G479+G481</f>
        <v>9166.599999999999</v>
      </c>
      <c r="H478" s="84">
        <f>H479+H481</f>
        <v>5710.2</v>
      </c>
      <c r="I478" s="84">
        <f>I479+I481</f>
        <v>6152.400000000001</v>
      </c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</row>
    <row r="479" spans="1:23" ht="16.5">
      <c r="A479" s="116" t="s">
        <v>564</v>
      </c>
      <c r="B479" s="89">
        <v>806</v>
      </c>
      <c r="C479" s="69" t="s">
        <v>40</v>
      </c>
      <c r="D479" s="69" t="s">
        <v>790</v>
      </c>
      <c r="E479" s="69" t="s">
        <v>797</v>
      </c>
      <c r="F479" s="69"/>
      <c r="G479" s="84">
        <f>G480</f>
        <v>421.8</v>
      </c>
      <c r="H479" s="84">
        <f>H480</f>
        <v>421.8</v>
      </c>
      <c r="I479" s="84">
        <f>I480</f>
        <v>421.8</v>
      </c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</row>
    <row r="480" spans="1:23" ht="16.5">
      <c r="A480" s="118" t="s">
        <v>836</v>
      </c>
      <c r="B480" s="89">
        <v>806</v>
      </c>
      <c r="C480" s="69" t="s">
        <v>40</v>
      </c>
      <c r="D480" s="69" t="s">
        <v>790</v>
      </c>
      <c r="E480" s="69" t="s">
        <v>797</v>
      </c>
      <c r="F480" s="69" t="s">
        <v>545</v>
      </c>
      <c r="G480" s="84">
        <f>'прил.16'!G431</f>
        <v>421.8</v>
      </c>
      <c r="H480" s="84">
        <f>'прил.16'!H431</f>
        <v>421.8</v>
      </c>
      <c r="I480" s="84">
        <f>'прил.16'!I431</f>
        <v>421.8</v>
      </c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</row>
    <row r="481" spans="1:23" ht="16.5">
      <c r="A481" s="116" t="s">
        <v>540</v>
      </c>
      <c r="B481" s="89">
        <v>806</v>
      </c>
      <c r="C481" s="69" t="s">
        <v>40</v>
      </c>
      <c r="D481" s="69" t="s">
        <v>790</v>
      </c>
      <c r="E481" s="69" t="s">
        <v>124</v>
      </c>
      <c r="F481" s="69"/>
      <c r="G481" s="84">
        <f>G482</f>
        <v>8744.8</v>
      </c>
      <c r="H481" s="84">
        <f>H482</f>
        <v>5288.4</v>
      </c>
      <c r="I481" s="84">
        <f>I482</f>
        <v>5730.6</v>
      </c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</row>
    <row r="482" spans="1:23" ht="16.5">
      <c r="A482" s="118" t="s">
        <v>836</v>
      </c>
      <c r="B482" s="89">
        <v>806</v>
      </c>
      <c r="C482" s="69" t="s">
        <v>40</v>
      </c>
      <c r="D482" s="69" t="s">
        <v>790</v>
      </c>
      <c r="E482" s="69" t="s">
        <v>124</v>
      </c>
      <c r="F482" s="69" t="s">
        <v>545</v>
      </c>
      <c r="G482" s="84">
        <f>'прил.16'!G433</f>
        <v>8744.8</v>
      </c>
      <c r="H482" s="84">
        <f>'прил.16'!H433</f>
        <v>5288.4</v>
      </c>
      <c r="I482" s="84">
        <f>'прил.16'!I433</f>
        <v>5730.6</v>
      </c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</row>
    <row r="483" spans="1:23" ht="16.5" hidden="1">
      <c r="A483" s="120" t="s">
        <v>52</v>
      </c>
      <c r="B483" s="89"/>
      <c r="C483" s="69" t="s">
        <v>40</v>
      </c>
      <c r="D483" s="69" t="s">
        <v>790</v>
      </c>
      <c r="E483" s="69" t="s">
        <v>32</v>
      </c>
      <c r="F483" s="69"/>
      <c r="G483" s="84">
        <f aca="true" t="shared" si="39" ref="G483:I484">G484</f>
        <v>0</v>
      </c>
      <c r="H483" s="84">
        <f t="shared" si="39"/>
        <v>0</v>
      </c>
      <c r="I483" s="84">
        <f t="shared" si="39"/>
        <v>0</v>
      </c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</row>
    <row r="484" spans="1:23" ht="33" hidden="1">
      <c r="A484" s="118" t="s">
        <v>154</v>
      </c>
      <c r="B484" s="89"/>
      <c r="C484" s="69" t="s">
        <v>40</v>
      </c>
      <c r="D484" s="69" t="s">
        <v>790</v>
      </c>
      <c r="E484" s="69" t="s">
        <v>153</v>
      </c>
      <c r="F484" s="69"/>
      <c r="G484" s="84">
        <f t="shared" si="39"/>
        <v>0</v>
      </c>
      <c r="H484" s="84">
        <f t="shared" si="39"/>
        <v>0</v>
      </c>
      <c r="I484" s="84">
        <f t="shared" si="39"/>
        <v>0</v>
      </c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</row>
    <row r="485" spans="1:23" ht="16.5" hidden="1">
      <c r="A485" s="118" t="s">
        <v>836</v>
      </c>
      <c r="B485" s="89"/>
      <c r="C485" s="69" t="s">
        <v>40</v>
      </c>
      <c r="D485" s="69" t="s">
        <v>790</v>
      </c>
      <c r="E485" s="69" t="s">
        <v>153</v>
      </c>
      <c r="F485" s="69" t="s">
        <v>545</v>
      </c>
      <c r="G485" s="84"/>
      <c r="H485" s="84"/>
      <c r="I485" s="84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</row>
    <row r="486" spans="1:23" ht="16.5">
      <c r="A486" s="116" t="s">
        <v>666</v>
      </c>
      <c r="B486" s="89">
        <v>806</v>
      </c>
      <c r="C486" s="69" t="s">
        <v>40</v>
      </c>
      <c r="D486" s="69" t="s">
        <v>791</v>
      </c>
      <c r="E486" s="69"/>
      <c r="F486" s="69"/>
      <c r="G486" s="84">
        <f>G487+G492+G497</f>
        <v>46616.6</v>
      </c>
      <c r="H486" s="84">
        <f>H487+H492+H497</f>
        <v>43987.1</v>
      </c>
      <c r="I486" s="84">
        <f>I487+I492+I497</f>
        <v>46743.7</v>
      </c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</row>
    <row r="487" spans="1:23" ht="16.5">
      <c r="A487" s="119" t="s">
        <v>664</v>
      </c>
      <c r="B487" s="89">
        <v>806</v>
      </c>
      <c r="C487" s="69" t="s">
        <v>40</v>
      </c>
      <c r="D487" s="69" t="s">
        <v>791</v>
      </c>
      <c r="E487" s="69" t="s">
        <v>121</v>
      </c>
      <c r="F487" s="69"/>
      <c r="G487" s="84">
        <f>G488+G490</f>
        <v>14956.7</v>
      </c>
      <c r="H487" s="84">
        <f>H488+H490</f>
        <v>15878.300000000001</v>
      </c>
      <c r="I487" s="84">
        <f>I488+I490</f>
        <v>16876.9</v>
      </c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</row>
    <row r="488" spans="1:23" ht="16.5">
      <c r="A488" s="116" t="s">
        <v>564</v>
      </c>
      <c r="B488" s="89">
        <v>806</v>
      </c>
      <c r="C488" s="69" t="s">
        <v>40</v>
      </c>
      <c r="D488" s="69" t="s">
        <v>791</v>
      </c>
      <c r="E488" s="69" t="s">
        <v>480</v>
      </c>
      <c r="F488" s="69"/>
      <c r="G488" s="84">
        <f>G489</f>
        <v>401.7</v>
      </c>
      <c r="H488" s="84">
        <f>H489</f>
        <v>401.7</v>
      </c>
      <c r="I488" s="84">
        <f>I489</f>
        <v>401.7</v>
      </c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</row>
    <row r="489" spans="1:23" ht="16.5">
      <c r="A489" s="118" t="s">
        <v>836</v>
      </c>
      <c r="B489" s="89">
        <v>806</v>
      </c>
      <c r="C489" s="69" t="s">
        <v>40</v>
      </c>
      <c r="D489" s="69" t="s">
        <v>791</v>
      </c>
      <c r="E489" s="69" t="s">
        <v>480</v>
      </c>
      <c r="F489" s="69" t="s">
        <v>545</v>
      </c>
      <c r="G489" s="84">
        <f>'прил.16'!G437</f>
        <v>401.7</v>
      </c>
      <c r="H489" s="84">
        <f>'прил.16'!H437</f>
        <v>401.7</v>
      </c>
      <c r="I489" s="84">
        <f>'прил.16'!I437</f>
        <v>401.7</v>
      </c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</row>
    <row r="490" spans="1:23" ht="16.5">
      <c r="A490" s="116" t="s">
        <v>540</v>
      </c>
      <c r="B490" s="89">
        <v>806</v>
      </c>
      <c r="C490" s="69" t="s">
        <v>40</v>
      </c>
      <c r="D490" s="69" t="s">
        <v>791</v>
      </c>
      <c r="E490" s="69" t="s">
        <v>122</v>
      </c>
      <c r="F490" s="98"/>
      <c r="G490" s="84">
        <f>G491</f>
        <v>14555</v>
      </c>
      <c r="H490" s="84">
        <f>H491</f>
        <v>15476.6</v>
      </c>
      <c r="I490" s="84">
        <f>I491</f>
        <v>16475.2</v>
      </c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</row>
    <row r="491" spans="1:23" ht="16.5">
      <c r="A491" s="118" t="s">
        <v>836</v>
      </c>
      <c r="B491" s="89">
        <v>806</v>
      </c>
      <c r="C491" s="69" t="s">
        <v>40</v>
      </c>
      <c r="D491" s="69" t="s">
        <v>791</v>
      </c>
      <c r="E491" s="69" t="s">
        <v>122</v>
      </c>
      <c r="F491" s="69" t="s">
        <v>545</v>
      </c>
      <c r="G491" s="84">
        <f>'прил.16'!G439</f>
        <v>14555</v>
      </c>
      <c r="H491" s="84">
        <f>'прил.16'!H439</f>
        <v>15476.6</v>
      </c>
      <c r="I491" s="84">
        <f>'прил.16'!I439</f>
        <v>16475.2</v>
      </c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</row>
    <row r="492" spans="1:23" ht="16.5">
      <c r="A492" s="116" t="s">
        <v>667</v>
      </c>
      <c r="B492" s="89">
        <v>806</v>
      </c>
      <c r="C492" s="69" t="s">
        <v>40</v>
      </c>
      <c r="D492" s="69" t="s">
        <v>791</v>
      </c>
      <c r="E492" s="69" t="s">
        <v>125</v>
      </c>
      <c r="F492" s="69"/>
      <c r="G492" s="84">
        <f>G493+G495</f>
        <v>31659.899999999998</v>
      </c>
      <c r="H492" s="84">
        <f>H493+H495</f>
        <v>28108.8</v>
      </c>
      <c r="I492" s="84">
        <f>I493+I495</f>
        <v>29866.8</v>
      </c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</row>
    <row r="493" spans="1:23" ht="16.5">
      <c r="A493" s="116" t="s">
        <v>564</v>
      </c>
      <c r="B493" s="89">
        <v>806</v>
      </c>
      <c r="C493" s="69" t="s">
        <v>40</v>
      </c>
      <c r="D493" s="69" t="s">
        <v>791</v>
      </c>
      <c r="E493" s="69" t="s">
        <v>481</v>
      </c>
      <c r="F493" s="69"/>
      <c r="G493" s="84">
        <f>G494</f>
        <v>826.6</v>
      </c>
      <c r="H493" s="84">
        <f>H494</f>
        <v>826.6</v>
      </c>
      <c r="I493" s="84">
        <f>I494</f>
        <v>826.6</v>
      </c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</row>
    <row r="494" spans="1:23" ht="16.5">
      <c r="A494" s="118" t="s">
        <v>836</v>
      </c>
      <c r="B494" s="89">
        <v>806</v>
      </c>
      <c r="C494" s="69" t="s">
        <v>40</v>
      </c>
      <c r="D494" s="69" t="s">
        <v>791</v>
      </c>
      <c r="E494" s="69" t="s">
        <v>481</v>
      </c>
      <c r="F494" s="69" t="s">
        <v>545</v>
      </c>
      <c r="G494" s="84">
        <f>'прил.16'!G442</f>
        <v>826.6</v>
      </c>
      <c r="H494" s="84">
        <f>'прил.16'!H442</f>
        <v>826.6</v>
      </c>
      <c r="I494" s="84">
        <f>'прил.16'!I442</f>
        <v>826.6</v>
      </c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</row>
    <row r="495" spans="1:23" ht="16.5">
      <c r="A495" s="116" t="s">
        <v>540</v>
      </c>
      <c r="B495" s="89">
        <v>806</v>
      </c>
      <c r="C495" s="69" t="s">
        <v>40</v>
      </c>
      <c r="D495" s="69" t="s">
        <v>791</v>
      </c>
      <c r="E495" s="69" t="s">
        <v>126</v>
      </c>
      <c r="F495" s="69"/>
      <c r="G495" s="84">
        <f>G496</f>
        <v>30833.3</v>
      </c>
      <c r="H495" s="84">
        <f>H496</f>
        <v>27282.2</v>
      </c>
      <c r="I495" s="84">
        <f>I496</f>
        <v>29040.2</v>
      </c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</row>
    <row r="496" spans="1:23" ht="16.5">
      <c r="A496" s="118" t="s">
        <v>836</v>
      </c>
      <c r="B496" s="89">
        <v>806</v>
      </c>
      <c r="C496" s="69" t="s">
        <v>40</v>
      </c>
      <c r="D496" s="69" t="s">
        <v>791</v>
      </c>
      <c r="E496" s="69" t="s">
        <v>126</v>
      </c>
      <c r="F496" s="69" t="s">
        <v>545</v>
      </c>
      <c r="G496" s="84">
        <f>'прил.16'!G444</f>
        <v>30833.3</v>
      </c>
      <c r="H496" s="84">
        <f>'прил.16'!H444</f>
        <v>27282.2</v>
      </c>
      <c r="I496" s="84">
        <f>'прил.16'!I444</f>
        <v>29040.2</v>
      </c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</row>
    <row r="497" spans="1:23" ht="16.5" hidden="1">
      <c r="A497" s="119" t="s">
        <v>101</v>
      </c>
      <c r="B497" s="89">
        <v>806</v>
      </c>
      <c r="C497" s="69" t="s">
        <v>40</v>
      </c>
      <c r="D497" s="69" t="s">
        <v>791</v>
      </c>
      <c r="E497" s="69" t="s">
        <v>441</v>
      </c>
      <c r="F497" s="69"/>
      <c r="G497" s="84">
        <f aca="true" t="shared" si="40" ref="G497:I498">G498</f>
        <v>0</v>
      </c>
      <c r="H497" s="84">
        <f t="shared" si="40"/>
        <v>0</v>
      </c>
      <c r="I497" s="84">
        <f t="shared" si="40"/>
        <v>0</v>
      </c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</row>
    <row r="498" spans="1:23" ht="88.5" customHeight="1" hidden="1">
      <c r="A498" s="119" t="s">
        <v>777</v>
      </c>
      <c r="B498" s="89">
        <v>806</v>
      </c>
      <c r="C498" s="69" t="s">
        <v>40</v>
      </c>
      <c r="D498" s="69" t="s">
        <v>791</v>
      </c>
      <c r="E498" s="69" t="s">
        <v>75</v>
      </c>
      <c r="F498" s="69"/>
      <c r="G498" s="84">
        <f t="shared" si="40"/>
        <v>0</v>
      </c>
      <c r="H498" s="84">
        <f t="shared" si="40"/>
        <v>0</v>
      </c>
      <c r="I498" s="84">
        <f t="shared" si="40"/>
        <v>0</v>
      </c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</row>
    <row r="499" spans="1:23" ht="18" customHeight="1" hidden="1">
      <c r="A499" s="118" t="s">
        <v>836</v>
      </c>
      <c r="B499" s="89">
        <v>806</v>
      </c>
      <c r="C499" s="69" t="s">
        <v>40</v>
      </c>
      <c r="D499" s="69" t="s">
        <v>791</v>
      </c>
      <c r="E499" s="69" t="s">
        <v>75</v>
      </c>
      <c r="F499" s="69" t="s">
        <v>545</v>
      </c>
      <c r="G499" s="84">
        <f>'прил.16'!G447</f>
        <v>0</v>
      </c>
      <c r="H499" s="84">
        <f>'прил.16'!H447</f>
        <v>0</v>
      </c>
      <c r="I499" s="84">
        <f>'прил.16'!I447</f>
        <v>0</v>
      </c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</row>
    <row r="500" spans="1:23" ht="18" customHeight="1">
      <c r="A500" s="116" t="s">
        <v>668</v>
      </c>
      <c r="B500" s="89">
        <v>806</v>
      </c>
      <c r="C500" s="69" t="s">
        <v>40</v>
      </c>
      <c r="D500" s="69" t="s">
        <v>792</v>
      </c>
      <c r="E500" s="69"/>
      <c r="F500" s="69"/>
      <c r="G500" s="84">
        <f>G501+G506</f>
        <v>2882.1</v>
      </c>
      <c r="H500" s="84">
        <f>H501+H506</f>
        <v>3100.9</v>
      </c>
      <c r="I500" s="84">
        <f>I501+I506</f>
        <v>3341.2999999999997</v>
      </c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</row>
    <row r="501" spans="1:23" ht="18" customHeight="1">
      <c r="A501" s="119" t="s">
        <v>664</v>
      </c>
      <c r="B501" s="89">
        <v>806</v>
      </c>
      <c r="C501" s="69" t="s">
        <v>40</v>
      </c>
      <c r="D501" s="69" t="s">
        <v>792</v>
      </c>
      <c r="E501" s="69" t="s">
        <v>121</v>
      </c>
      <c r="F501" s="69"/>
      <c r="G501" s="84">
        <f>G502+G504</f>
        <v>2552.6</v>
      </c>
      <c r="H501" s="84">
        <f>H502+H504</f>
        <v>2738.8</v>
      </c>
      <c r="I501" s="84">
        <f>I502+I504</f>
        <v>2943.1</v>
      </c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</row>
    <row r="502" spans="1:23" ht="18.75" customHeight="1">
      <c r="A502" s="116" t="s">
        <v>564</v>
      </c>
      <c r="B502" s="89">
        <v>806</v>
      </c>
      <c r="C502" s="69" t="s">
        <v>40</v>
      </c>
      <c r="D502" s="69" t="s">
        <v>792</v>
      </c>
      <c r="E502" s="69" t="s">
        <v>480</v>
      </c>
      <c r="F502" s="69"/>
      <c r="G502" s="84">
        <f>G503</f>
        <v>49.5</v>
      </c>
      <c r="H502" s="84">
        <f>H503</f>
        <v>49.5</v>
      </c>
      <c r="I502" s="84">
        <f>I503</f>
        <v>49.5</v>
      </c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</row>
    <row r="503" spans="1:23" ht="18.75" customHeight="1">
      <c r="A503" s="118" t="s">
        <v>836</v>
      </c>
      <c r="B503" s="89">
        <v>806</v>
      </c>
      <c r="C503" s="69" t="s">
        <v>40</v>
      </c>
      <c r="D503" s="69" t="s">
        <v>792</v>
      </c>
      <c r="E503" s="69" t="s">
        <v>480</v>
      </c>
      <c r="F503" s="69" t="s">
        <v>545</v>
      </c>
      <c r="G503" s="84">
        <f>'прил.16'!G451</f>
        <v>49.5</v>
      </c>
      <c r="H503" s="84">
        <f>'прил.16'!H451</f>
        <v>49.5</v>
      </c>
      <c r="I503" s="84">
        <f>'прил.16'!I451</f>
        <v>49.5</v>
      </c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</row>
    <row r="504" spans="1:23" ht="18" customHeight="1">
      <c r="A504" s="116" t="s">
        <v>540</v>
      </c>
      <c r="B504" s="89">
        <v>806</v>
      </c>
      <c r="C504" s="69" t="s">
        <v>40</v>
      </c>
      <c r="D504" s="69" t="s">
        <v>792</v>
      </c>
      <c r="E504" s="69" t="s">
        <v>122</v>
      </c>
      <c r="F504" s="98"/>
      <c r="G504" s="84">
        <f>G505</f>
        <v>2503.1</v>
      </c>
      <c r="H504" s="84">
        <f>H505</f>
        <v>2689.3</v>
      </c>
      <c r="I504" s="84">
        <f>I505</f>
        <v>2893.6</v>
      </c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</row>
    <row r="505" spans="1:23" s="19" customFormat="1" ht="20.25" customHeight="1">
      <c r="A505" s="118" t="s">
        <v>836</v>
      </c>
      <c r="B505" s="89">
        <v>806</v>
      </c>
      <c r="C505" s="69" t="s">
        <v>40</v>
      </c>
      <c r="D505" s="69" t="s">
        <v>792</v>
      </c>
      <c r="E505" s="69" t="s">
        <v>122</v>
      </c>
      <c r="F505" s="69" t="s">
        <v>545</v>
      </c>
      <c r="G505" s="84">
        <f>'прил.16'!G453</f>
        <v>2503.1</v>
      </c>
      <c r="H505" s="84">
        <f>'прил.16'!H453</f>
        <v>2689.3</v>
      </c>
      <c r="I505" s="84">
        <f>'прил.16'!I453</f>
        <v>2893.6</v>
      </c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</row>
    <row r="506" spans="1:23" s="20" customFormat="1" ht="18" customHeight="1">
      <c r="A506" s="116" t="s">
        <v>667</v>
      </c>
      <c r="B506" s="89"/>
      <c r="C506" s="69" t="s">
        <v>40</v>
      </c>
      <c r="D506" s="69" t="s">
        <v>792</v>
      </c>
      <c r="E506" s="69" t="s">
        <v>125</v>
      </c>
      <c r="F506" s="69"/>
      <c r="G506" s="84">
        <f>G507+G509</f>
        <v>329.5</v>
      </c>
      <c r="H506" s="84">
        <f>H507+H509</f>
        <v>362.09999999999997</v>
      </c>
      <c r="I506" s="84">
        <f>I507+I509</f>
        <v>398.2</v>
      </c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</row>
    <row r="507" spans="1:23" ht="18" customHeight="1">
      <c r="A507" s="116" t="s">
        <v>564</v>
      </c>
      <c r="B507" s="89"/>
      <c r="C507" s="69" t="s">
        <v>40</v>
      </c>
      <c r="D507" s="69" t="s">
        <v>792</v>
      </c>
      <c r="E507" s="69" t="s">
        <v>481</v>
      </c>
      <c r="F507" s="69"/>
      <c r="G507" s="84">
        <f>G508</f>
        <v>37.7</v>
      </c>
      <c r="H507" s="84">
        <f>H508</f>
        <v>37.7</v>
      </c>
      <c r="I507" s="84">
        <f>I508</f>
        <v>37.7</v>
      </c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</row>
    <row r="508" spans="1:23" ht="18" customHeight="1">
      <c r="A508" s="118" t="s">
        <v>836</v>
      </c>
      <c r="B508" s="89"/>
      <c r="C508" s="69" t="s">
        <v>40</v>
      </c>
      <c r="D508" s="69" t="s">
        <v>792</v>
      </c>
      <c r="E508" s="69" t="s">
        <v>481</v>
      </c>
      <c r="F508" s="69" t="s">
        <v>545</v>
      </c>
      <c r="G508" s="84">
        <f>'прил.16'!G456</f>
        <v>37.7</v>
      </c>
      <c r="H508" s="84">
        <f>'прил.16'!H456</f>
        <v>37.7</v>
      </c>
      <c r="I508" s="84">
        <f>'прил.16'!I456</f>
        <v>37.7</v>
      </c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</row>
    <row r="509" spans="1:23" ht="18" customHeight="1">
      <c r="A509" s="116" t="s">
        <v>540</v>
      </c>
      <c r="B509" s="89"/>
      <c r="C509" s="69" t="s">
        <v>40</v>
      </c>
      <c r="D509" s="69" t="s">
        <v>792</v>
      </c>
      <c r="E509" s="69" t="s">
        <v>126</v>
      </c>
      <c r="F509" s="69"/>
      <c r="G509" s="84">
        <f>G510</f>
        <v>291.8</v>
      </c>
      <c r="H509" s="84">
        <f>H510</f>
        <v>324.4</v>
      </c>
      <c r="I509" s="84">
        <f>I510</f>
        <v>360.5</v>
      </c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</row>
    <row r="510" spans="1:23" ht="18" customHeight="1">
      <c r="A510" s="118" t="s">
        <v>836</v>
      </c>
      <c r="B510" s="89"/>
      <c r="C510" s="69" t="s">
        <v>40</v>
      </c>
      <c r="D510" s="69" t="s">
        <v>792</v>
      </c>
      <c r="E510" s="69" t="s">
        <v>126</v>
      </c>
      <c r="F510" s="69" t="s">
        <v>545</v>
      </c>
      <c r="G510" s="84">
        <f>'прил.16'!G458</f>
        <v>291.8</v>
      </c>
      <c r="H510" s="84">
        <f>'прил.16'!H458</f>
        <v>324.4</v>
      </c>
      <c r="I510" s="84">
        <f>'прил.16'!I458</f>
        <v>360.5</v>
      </c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</row>
    <row r="511" spans="1:23" ht="16.5">
      <c r="A511" s="119" t="s">
        <v>669</v>
      </c>
      <c r="B511" s="89">
        <v>806</v>
      </c>
      <c r="C511" s="69" t="s">
        <v>40</v>
      </c>
      <c r="D511" s="69" t="s">
        <v>793</v>
      </c>
      <c r="E511" s="69"/>
      <c r="F511" s="69"/>
      <c r="G511" s="84">
        <f>G512+G517</f>
        <v>126600.90000000001</v>
      </c>
      <c r="H511" s="84">
        <f>H512+H517</f>
        <v>123445.3</v>
      </c>
      <c r="I511" s="84">
        <f>I512+I517</f>
        <v>105263.1</v>
      </c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</row>
    <row r="512" spans="1:9" s="11" customFormat="1" ht="16.5">
      <c r="A512" s="116" t="s">
        <v>670</v>
      </c>
      <c r="B512" s="89">
        <v>806</v>
      </c>
      <c r="C512" s="69" t="s">
        <v>40</v>
      </c>
      <c r="D512" s="69" t="s">
        <v>793</v>
      </c>
      <c r="E512" s="69" t="s">
        <v>127</v>
      </c>
      <c r="F512" s="69"/>
      <c r="G512" s="84">
        <f>G513+G515</f>
        <v>107482.90000000001</v>
      </c>
      <c r="H512" s="84">
        <f>H513+H515</f>
        <v>104318.3</v>
      </c>
      <c r="I512" s="84">
        <f>I513+I515</f>
        <v>105263.1</v>
      </c>
    </row>
    <row r="513" spans="1:9" s="11" customFormat="1" ht="16.5">
      <c r="A513" s="116" t="s">
        <v>564</v>
      </c>
      <c r="B513" s="89">
        <v>806</v>
      </c>
      <c r="C513" s="69" t="s">
        <v>40</v>
      </c>
      <c r="D513" s="69" t="s">
        <v>793</v>
      </c>
      <c r="E513" s="69" t="s">
        <v>799</v>
      </c>
      <c r="F513" s="69"/>
      <c r="G513" s="84">
        <f>G514</f>
        <v>333.6</v>
      </c>
      <c r="H513" s="84">
        <f>H514</f>
        <v>333.6</v>
      </c>
      <c r="I513" s="84">
        <f>I514</f>
        <v>333.6</v>
      </c>
    </row>
    <row r="514" spans="1:23" ht="16.5">
      <c r="A514" s="118" t="s">
        <v>836</v>
      </c>
      <c r="B514" s="89">
        <v>806</v>
      </c>
      <c r="C514" s="69" t="s">
        <v>40</v>
      </c>
      <c r="D514" s="69" t="s">
        <v>793</v>
      </c>
      <c r="E514" s="69" t="s">
        <v>799</v>
      </c>
      <c r="F514" s="69" t="s">
        <v>545</v>
      </c>
      <c r="G514" s="84">
        <f>'прил.16'!G462</f>
        <v>333.6</v>
      </c>
      <c r="H514" s="84">
        <f>'прил.16'!H462</f>
        <v>333.6</v>
      </c>
      <c r="I514" s="84">
        <f>'прил.16'!I462</f>
        <v>333.6</v>
      </c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</row>
    <row r="515" spans="1:23" ht="16.5">
      <c r="A515" s="116" t="s">
        <v>540</v>
      </c>
      <c r="B515" s="89">
        <v>806</v>
      </c>
      <c r="C515" s="69" t="s">
        <v>40</v>
      </c>
      <c r="D515" s="69" t="s">
        <v>793</v>
      </c>
      <c r="E515" s="69" t="s">
        <v>128</v>
      </c>
      <c r="F515" s="69"/>
      <c r="G515" s="84">
        <f>G516</f>
        <v>107149.3</v>
      </c>
      <c r="H515" s="84">
        <f>H516</f>
        <v>103984.7</v>
      </c>
      <c r="I515" s="84">
        <f>I516</f>
        <v>104929.5</v>
      </c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</row>
    <row r="516" spans="1:23" ht="16.5">
      <c r="A516" s="118" t="s">
        <v>836</v>
      </c>
      <c r="B516" s="89">
        <v>806</v>
      </c>
      <c r="C516" s="69" t="s">
        <v>40</v>
      </c>
      <c r="D516" s="69" t="s">
        <v>793</v>
      </c>
      <c r="E516" s="69" t="s">
        <v>128</v>
      </c>
      <c r="F516" s="69" t="s">
        <v>545</v>
      </c>
      <c r="G516" s="84">
        <f>'прил.16'!G464</f>
        <v>107149.3</v>
      </c>
      <c r="H516" s="84">
        <f>'прил.16'!H464</f>
        <v>103984.7</v>
      </c>
      <c r="I516" s="84">
        <f>'прил.16'!I464</f>
        <v>104929.5</v>
      </c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</row>
    <row r="517" spans="1:23" ht="18.75" customHeight="1">
      <c r="A517" s="119" t="s">
        <v>671</v>
      </c>
      <c r="B517" s="89">
        <v>806</v>
      </c>
      <c r="C517" s="69" t="s">
        <v>40</v>
      </c>
      <c r="D517" s="69" t="s">
        <v>793</v>
      </c>
      <c r="E517" s="69" t="s">
        <v>441</v>
      </c>
      <c r="F517" s="69"/>
      <c r="G517" s="84">
        <f aca="true" t="shared" si="41" ref="G517:I518">G518</f>
        <v>19118</v>
      </c>
      <c r="H517" s="84">
        <f t="shared" si="41"/>
        <v>19127</v>
      </c>
      <c r="I517" s="84">
        <f t="shared" si="41"/>
        <v>0</v>
      </c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</row>
    <row r="518" spans="1:23" ht="49.5" customHeight="1">
      <c r="A518" s="125" t="s">
        <v>815</v>
      </c>
      <c r="B518" s="89">
        <v>806</v>
      </c>
      <c r="C518" s="69" t="s">
        <v>40</v>
      </c>
      <c r="D518" s="69" t="s">
        <v>793</v>
      </c>
      <c r="E518" s="69" t="s">
        <v>76</v>
      </c>
      <c r="F518" s="69"/>
      <c r="G518" s="84">
        <f t="shared" si="41"/>
        <v>19118</v>
      </c>
      <c r="H518" s="84">
        <f t="shared" si="41"/>
        <v>19127</v>
      </c>
      <c r="I518" s="84">
        <f t="shared" si="41"/>
        <v>0</v>
      </c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</row>
    <row r="519" spans="1:23" ht="16.5">
      <c r="A519" s="118" t="s">
        <v>836</v>
      </c>
      <c r="B519" s="89">
        <v>806</v>
      </c>
      <c r="C519" s="69" t="s">
        <v>40</v>
      </c>
      <c r="D519" s="69" t="s">
        <v>793</v>
      </c>
      <c r="E519" s="69" t="s">
        <v>76</v>
      </c>
      <c r="F519" s="69" t="s">
        <v>545</v>
      </c>
      <c r="G519" s="84">
        <f>'прил.16'!G467</f>
        <v>19118</v>
      </c>
      <c r="H519" s="84">
        <f>'прил.16'!H467</f>
        <v>19127</v>
      </c>
      <c r="I519" s="84">
        <f>'прил.16'!I467</f>
        <v>0</v>
      </c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</row>
    <row r="520" spans="1:23" ht="16.5">
      <c r="A520" s="119" t="s">
        <v>672</v>
      </c>
      <c r="B520" s="89">
        <v>806</v>
      </c>
      <c r="C520" s="69" t="s">
        <v>40</v>
      </c>
      <c r="D520" s="69" t="s">
        <v>42</v>
      </c>
      <c r="E520" s="69"/>
      <c r="F520" s="69"/>
      <c r="G520" s="84">
        <f>G521</f>
        <v>7488.099999999999</v>
      </c>
      <c r="H520" s="84">
        <f>H521</f>
        <v>7526.7</v>
      </c>
      <c r="I520" s="84">
        <f>I521</f>
        <v>7697.7</v>
      </c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</row>
    <row r="521" spans="1:23" ht="16.5">
      <c r="A521" s="116" t="s">
        <v>673</v>
      </c>
      <c r="B521" s="89">
        <v>806</v>
      </c>
      <c r="C521" s="69" t="s">
        <v>40</v>
      </c>
      <c r="D521" s="69" t="s">
        <v>42</v>
      </c>
      <c r="E521" s="69" t="s">
        <v>129</v>
      </c>
      <c r="F521" s="69"/>
      <c r="G521" s="84">
        <f>G522+G524</f>
        <v>7488.099999999999</v>
      </c>
      <c r="H521" s="84">
        <f>H522+H524</f>
        <v>7526.7</v>
      </c>
      <c r="I521" s="84">
        <f>I522+I524</f>
        <v>7697.7</v>
      </c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</row>
    <row r="522" spans="1:23" ht="17.25" customHeight="1">
      <c r="A522" s="116" t="s">
        <v>564</v>
      </c>
      <c r="B522" s="89">
        <v>806</v>
      </c>
      <c r="C522" s="69" t="s">
        <v>40</v>
      </c>
      <c r="D522" s="69" t="s">
        <v>42</v>
      </c>
      <c r="E522" s="69" t="s">
        <v>482</v>
      </c>
      <c r="F522" s="69"/>
      <c r="G522" s="84">
        <f>G523</f>
        <v>219.7</v>
      </c>
      <c r="H522" s="84">
        <f>H523</f>
        <v>219.7</v>
      </c>
      <c r="I522" s="84">
        <f>I523</f>
        <v>219.7</v>
      </c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</row>
    <row r="523" spans="1:23" ht="16.5">
      <c r="A523" s="118" t="s">
        <v>836</v>
      </c>
      <c r="B523" s="89">
        <v>806</v>
      </c>
      <c r="C523" s="69" t="s">
        <v>40</v>
      </c>
      <c r="D523" s="69" t="s">
        <v>42</v>
      </c>
      <c r="E523" s="69" t="s">
        <v>482</v>
      </c>
      <c r="F523" s="69" t="s">
        <v>545</v>
      </c>
      <c r="G523" s="84">
        <f>'прил.16'!G471</f>
        <v>219.7</v>
      </c>
      <c r="H523" s="84">
        <f>'прил.16'!H471</f>
        <v>219.7</v>
      </c>
      <c r="I523" s="84">
        <f>'прил.16'!I471</f>
        <v>219.7</v>
      </c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</row>
    <row r="524" spans="1:23" ht="15.75" customHeight="1">
      <c r="A524" s="116" t="s">
        <v>540</v>
      </c>
      <c r="B524" s="89">
        <v>806</v>
      </c>
      <c r="C524" s="69" t="s">
        <v>40</v>
      </c>
      <c r="D524" s="69" t="s">
        <v>42</v>
      </c>
      <c r="E524" s="69" t="s">
        <v>130</v>
      </c>
      <c r="F524" s="69"/>
      <c r="G524" s="84">
        <f>G525</f>
        <v>7268.4</v>
      </c>
      <c r="H524" s="84">
        <f>H525</f>
        <v>7307</v>
      </c>
      <c r="I524" s="84">
        <f>I525</f>
        <v>7478</v>
      </c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</row>
    <row r="525" spans="1:23" ht="18" customHeight="1">
      <c r="A525" s="118" t="s">
        <v>836</v>
      </c>
      <c r="B525" s="89">
        <v>806</v>
      </c>
      <c r="C525" s="69" t="s">
        <v>40</v>
      </c>
      <c r="D525" s="69" t="s">
        <v>42</v>
      </c>
      <c r="E525" s="69" t="s">
        <v>130</v>
      </c>
      <c r="F525" s="69" t="s">
        <v>545</v>
      </c>
      <c r="G525" s="84">
        <f>'прил.16'!G473</f>
        <v>7268.4</v>
      </c>
      <c r="H525" s="84">
        <f>'прил.16'!H473</f>
        <v>7307</v>
      </c>
      <c r="I525" s="84">
        <f>'прил.16'!I473</f>
        <v>7478</v>
      </c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</row>
    <row r="526" spans="1:23" ht="21.75" customHeight="1">
      <c r="A526" s="119" t="s">
        <v>674</v>
      </c>
      <c r="B526" s="89">
        <v>806</v>
      </c>
      <c r="C526" s="69" t="s">
        <v>40</v>
      </c>
      <c r="D526" s="69" t="s">
        <v>40</v>
      </c>
      <c r="E526" s="69"/>
      <c r="F526" s="69"/>
      <c r="G526" s="84">
        <f>G527+G530+G535+G549+G557+G540+G547</f>
        <v>31336.800000000003</v>
      </c>
      <c r="H526" s="84">
        <f>H527+H530+H535+H549+H557+H540+H547</f>
        <v>35146.5</v>
      </c>
      <c r="I526" s="84">
        <f>I527+I530+I535+I549+I557+I540+I547</f>
        <v>33032.7</v>
      </c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</row>
    <row r="527" spans="1:23" ht="52.5" customHeight="1">
      <c r="A527" s="118" t="s">
        <v>26</v>
      </c>
      <c r="B527" s="89">
        <v>806</v>
      </c>
      <c r="C527" s="69" t="s">
        <v>40</v>
      </c>
      <c r="D527" s="69" t="s">
        <v>40</v>
      </c>
      <c r="E527" s="69" t="s">
        <v>27</v>
      </c>
      <c r="F527" s="69"/>
      <c r="G527" s="84">
        <f aca="true" t="shared" si="42" ref="G527:I528">G528</f>
        <v>8910.5</v>
      </c>
      <c r="H527" s="84">
        <f t="shared" si="42"/>
        <v>8928.699999999999</v>
      </c>
      <c r="I527" s="84">
        <f t="shared" si="42"/>
        <v>8945.8</v>
      </c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</row>
    <row r="528" spans="1:23" ht="16.5">
      <c r="A528" s="118" t="s">
        <v>560</v>
      </c>
      <c r="B528" s="89">
        <v>806</v>
      </c>
      <c r="C528" s="69" t="s">
        <v>40</v>
      </c>
      <c r="D528" s="69" t="s">
        <v>40</v>
      </c>
      <c r="E528" s="69" t="s">
        <v>29</v>
      </c>
      <c r="F528" s="69"/>
      <c r="G528" s="84">
        <f t="shared" si="42"/>
        <v>8910.5</v>
      </c>
      <c r="H528" s="84">
        <f t="shared" si="42"/>
        <v>8928.699999999999</v>
      </c>
      <c r="I528" s="84">
        <f t="shared" si="42"/>
        <v>8945.8</v>
      </c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</row>
    <row r="529" spans="1:23" ht="17.25" customHeight="1">
      <c r="A529" s="118" t="s">
        <v>346</v>
      </c>
      <c r="B529" s="89">
        <v>806</v>
      </c>
      <c r="C529" s="69" t="s">
        <v>40</v>
      </c>
      <c r="D529" s="69" t="s">
        <v>40</v>
      </c>
      <c r="E529" s="69" t="s">
        <v>29</v>
      </c>
      <c r="F529" s="69" t="s">
        <v>197</v>
      </c>
      <c r="G529" s="84">
        <f>'прил.16'!G477</f>
        <v>8910.5</v>
      </c>
      <c r="H529" s="84">
        <f>'прил.16'!H477</f>
        <v>8928.699999999999</v>
      </c>
      <c r="I529" s="84">
        <f>'прил.16'!I477</f>
        <v>8945.8</v>
      </c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</row>
    <row r="530" spans="1:23" ht="17.25" customHeight="1" hidden="1">
      <c r="A530" s="118" t="s">
        <v>110</v>
      </c>
      <c r="B530" s="89"/>
      <c r="C530" s="69" t="s">
        <v>40</v>
      </c>
      <c r="D530" s="69" t="s">
        <v>40</v>
      </c>
      <c r="E530" s="69" t="s">
        <v>800</v>
      </c>
      <c r="F530" s="69"/>
      <c r="G530" s="84">
        <f>G531+G533</f>
        <v>0</v>
      </c>
      <c r="H530" s="84">
        <f>H531+H533</f>
        <v>0</v>
      </c>
      <c r="I530" s="84">
        <f>I531+I533</f>
        <v>0</v>
      </c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</row>
    <row r="531" spans="1:23" ht="17.25" customHeight="1" hidden="1">
      <c r="A531" s="118" t="s">
        <v>753</v>
      </c>
      <c r="B531" s="89"/>
      <c r="C531" s="81" t="s">
        <v>40</v>
      </c>
      <c r="D531" s="69" t="s">
        <v>40</v>
      </c>
      <c r="E531" s="69" t="s">
        <v>803</v>
      </c>
      <c r="F531" s="69"/>
      <c r="G531" s="88">
        <f>G532</f>
        <v>0</v>
      </c>
      <c r="H531" s="88">
        <f>H532</f>
        <v>0</v>
      </c>
      <c r="I531" s="88">
        <f>I532</f>
        <v>0</v>
      </c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</row>
    <row r="532" spans="1:23" ht="17.25" customHeight="1" hidden="1">
      <c r="A532" s="119" t="s">
        <v>401</v>
      </c>
      <c r="B532" s="89"/>
      <c r="C532" s="81" t="s">
        <v>40</v>
      </c>
      <c r="D532" s="69" t="s">
        <v>40</v>
      </c>
      <c r="E532" s="69" t="s">
        <v>803</v>
      </c>
      <c r="F532" s="69" t="s">
        <v>827</v>
      </c>
      <c r="G532" s="88">
        <f>'прил.16'!G1021</f>
        <v>0</v>
      </c>
      <c r="H532" s="88">
        <f>'прил.16'!H1021</f>
        <v>0</v>
      </c>
      <c r="I532" s="88">
        <f>'прил.16'!I1021</f>
        <v>0</v>
      </c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</row>
    <row r="533" spans="1:23" ht="20.25" customHeight="1" hidden="1">
      <c r="A533" s="118" t="s">
        <v>250</v>
      </c>
      <c r="B533" s="89">
        <v>841</v>
      </c>
      <c r="C533" s="81" t="s">
        <v>40</v>
      </c>
      <c r="D533" s="69" t="s">
        <v>40</v>
      </c>
      <c r="E533" s="69" t="s">
        <v>811</v>
      </c>
      <c r="F533" s="69"/>
      <c r="G533" s="88">
        <f>G534</f>
        <v>0</v>
      </c>
      <c r="H533" s="88">
        <f>H534</f>
        <v>0</v>
      </c>
      <c r="I533" s="88">
        <f>I534</f>
        <v>0</v>
      </c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</row>
    <row r="534" spans="1:23" ht="17.25" customHeight="1" hidden="1">
      <c r="A534" s="119" t="s">
        <v>189</v>
      </c>
      <c r="B534" s="89">
        <v>841</v>
      </c>
      <c r="C534" s="81" t="s">
        <v>40</v>
      </c>
      <c r="D534" s="69" t="s">
        <v>40</v>
      </c>
      <c r="E534" s="69" t="s">
        <v>811</v>
      </c>
      <c r="F534" s="69" t="s">
        <v>827</v>
      </c>
      <c r="G534" s="88">
        <f>'прил.16'!G1023</f>
        <v>0</v>
      </c>
      <c r="H534" s="88">
        <f>'прил.16'!H1023</f>
        <v>0</v>
      </c>
      <c r="I534" s="88">
        <f>'прил.16'!I1023</f>
        <v>0</v>
      </c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</row>
    <row r="535" spans="1:23" ht="53.25" customHeight="1">
      <c r="A535" s="118" t="s">
        <v>652</v>
      </c>
      <c r="B535" s="89">
        <v>806</v>
      </c>
      <c r="C535" s="69" t="s">
        <v>40</v>
      </c>
      <c r="D535" s="69" t="s">
        <v>40</v>
      </c>
      <c r="E535" s="69" t="s">
        <v>532</v>
      </c>
      <c r="F535" s="69"/>
      <c r="G535" s="84">
        <f>G536+G538</f>
        <v>10283.2</v>
      </c>
      <c r="H535" s="84">
        <f>H536+H538</f>
        <v>10232.2</v>
      </c>
      <c r="I535" s="84">
        <f>I536+I538</f>
        <v>10284.2</v>
      </c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</row>
    <row r="536" spans="1:23" ht="16.5" hidden="1">
      <c r="A536" s="116" t="s">
        <v>475</v>
      </c>
      <c r="B536" s="89">
        <v>806</v>
      </c>
      <c r="C536" s="69" t="s">
        <v>40</v>
      </c>
      <c r="D536" s="69" t="s">
        <v>40</v>
      </c>
      <c r="E536" s="69" t="s">
        <v>479</v>
      </c>
      <c r="F536" s="69"/>
      <c r="G536" s="84">
        <f>G537</f>
        <v>0</v>
      </c>
      <c r="H536" s="84">
        <f>H537</f>
        <v>0</v>
      </c>
      <c r="I536" s="84">
        <f>I537</f>
        <v>0</v>
      </c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</row>
    <row r="537" spans="1:23" ht="16.5" hidden="1">
      <c r="A537" s="118" t="s">
        <v>836</v>
      </c>
      <c r="B537" s="89">
        <v>806</v>
      </c>
      <c r="C537" s="69" t="s">
        <v>40</v>
      </c>
      <c r="D537" s="69" t="s">
        <v>40</v>
      </c>
      <c r="E537" s="69" t="s">
        <v>479</v>
      </c>
      <c r="F537" s="69" t="s">
        <v>545</v>
      </c>
      <c r="G537" s="84">
        <f>'прил.16'!G480</f>
        <v>0</v>
      </c>
      <c r="H537" s="84">
        <f>'прил.16'!H480</f>
        <v>0</v>
      </c>
      <c r="I537" s="84">
        <f>'прил.16'!I480</f>
        <v>0</v>
      </c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</row>
    <row r="538" spans="1:23" ht="16.5">
      <c r="A538" s="116" t="s">
        <v>540</v>
      </c>
      <c r="B538" s="89">
        <v>806</v>
      </c>
      <c r="C538" s="69" t="s">
        <v>40</v>
      </c>
      <c r="D538" s="69" t="s">
        <v>40</v>
      </c>
      <c r="E538" s="69" t="s">
        <v>533</v>
      </c>
      <c r="F538" s="69"/>
      <c r="G538" s="84">
        <f>G539</f>
        <v>10283.2</v>
      </c>
      <c r="H538" s="84">
        <f>H539</f>
        <v>10232.2</v>
      </c>
      <c r="I538" s="84">
        <f>I539</f>
        <v>10284.2</v>
      </c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</row>
    <row r="539" spans="1:23" ht="16.5">
      <c r="A539" s="118" t="s">
        <v>836</v>
      </c>
      <c r="B539" s="89">
        <v>806</v>
      </c>
      <c r="C539" s="69" t="s">
        <v>40</v>
      </c>
      <c r="D539" s="69" t="s">
        <v>40</v>
      </c>
      <c r="E539" s="69" t="s">
        <v>533</v>
      </c>
      <c r="F539" s="69" t="s">
        <v>545</v>
      </c>
      <c r="G539" s="84">
        <f>'прил.16'!G482</f>
        <v>10283.2</v>
      </c>
      <c r="H539" s="84">
        <f>'прил.16'!H482</f>
        <v>10232.2</v>
      </c>
      <c r="I539" s="84">
        <f>'прил.16'!I482</f>
        <v>10284.2</v>
      </c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</row>
    <row r="540" spans="1:23" ht="25.5" customHeight="1">
      <c r="A540" s="116" t="s">
        <v>675</v>
      </c>
      <c r="B540" s="89">
        <v>806</v>
      </c>
      <c r="C540" s="69" t="s">
        <v>40</v>
      </c>
      <c r="D540" s="69" t="s">
        <v>40</v>
      </c>
      <c r="E540" s="69" t="s">
        <v>131</v>
      </c>
      <c r="F540" s="69"/>
      <c r="G540" s="84">
        <f>G541+G543</f>
        <v>1581</v>
      </c>
      <c r="H540" s="84">
        <f>H541+H543</f>
        <v>1614.8</v>
      </c>
      <c r="I540" s="84">
        <f>I541+I543</f>
        <v>1648.7</v>
      </c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</row>
    <row r="541" spans="1:23" ht="16.5" hidden="1">
      <c r="A541" s="116" t="s">
        <v>475</v>
      </c>
      <c r="B541" s="89">
        <v>806</v>
      </c>
      <c r="C541" s="69" t="s">
        <v>40</v>
      </c>
      <c r="D541" s="69" t="s">
        <v>40</v>
      </c>
      <c r="E541" s="69" t="s">
        <v>483</v>
      </c>
      <c r="F541" s="69"/>
      <c r="G541" s="84">
        <f>G542</f>
        <v>0</v>
      </c>
      <c r="H541" s="84">
        <f>H542</f>
        <v>0</v>
      </c>
      <c r="I541" s="84">
        <f>I542</f>
        <v>0</v>
      </c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</row>
    <row r="542" spans="1:23" ht="17.25" customHeight="1" hidden="1">
      <c r="A542" s="118" t="s">
        <v>836</v>
      </c>
      <c r="B542" s="89">
        <v>806</v>
      </c>
      <c r="C542" s="69" t="s">
        <v>40</v>
      </c>
      <c r="D542" s="69" t="s">
        <v>40</v>
      </c>
      <c r="E542" s="69" t="s">
        <v>483</v>
      </c>
      <c r="F542" s="69" t="s">
        <v>545</v>
      </c>
      <c r="G542" s="84">
        <f>'прил.16'!G485</f>
        <v>0</v>
      </c>
      <c r="H542" s="84">
        <f>'прил.16'!H485</f>
        <v>0</v>
      </c>
      <c r="I542" s="84">
        <f>'прил.16'!I485</f>
        <v>0</v>
      </c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</row>
    <row r="543" spans="1:23" s="19" customFormat="1" ht="17.25" customHeight="1">
      <c r="A543" s="116" t="s">
        <v>540</v>
      </c>
      <c r="B543" s="89">
        <v>806</v>
      </c>
      <c r="C543" s="69" t="s">
        <v>40</v>
      </c>
      <c r="D543" s="69" t="s">
        <v>40</v>
      </c>
      <c r="E543" s="69" t="s">
        <v>132</v>
      </c>
      <c r="F543" s="69"/>
      <c r="G543" s="84">
        <f>G544</f>
        <v>1581</v>
      </c>
      <c r="H543" s="84">
        <f>H544</f>
        <v>1614.8</v>
      </c>
      <c r="I543" s="84">
        <f>I544</f>
        <v>1648.7</v>
      </c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</row>
    <row r="544" spans="1:23" s="20" customFormat="1" ht="16.5">
      <c r="A544" s="118" t="s">
        <v>836</v>
      </c>
      <c r="B544" s="89">
        <v>806</v>
      </c>
      <c r="C544" s="69" t="s">
        <v>40</v>
      </c>
      <c r="D544" s="69" t="s">
        <v>40</v>
      </c>
      <c r="E544" s="69" t="s">
        <v>132</v>
      </c>
      <c r="F544" s="69" t="s">
        <v>545</v>
      </c>
      <c r="G544" s="84">
        <f>'прил.16'!G487</f>
        <v>1581</v>
      </c>
      <c r="H544" s="84">
        <f>'прил.16'!H487</f>
        <v>1614.8</v>
      </c>
      <c r="I544" s="84">
        <f>'прил.16'!I487</f>
        <v>1648.7</v>
      </c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</row>
    <row r="545" spans="1:9" s="11" customFormat="1" ht="16.5">
      <c r="A545" s="118" t="s">
        <v>676</v>
      </c>
      <c r="B545" s="89"/>
      <c r="C545" s="69" t="s">
        <v>40</v>
      </c>
      <c r="D545" s="69" t="s">
        <v>40</v>
      </c>
      <c r="E545" s="69" t="s">
        <v>330</v>
      </c>
      <c r="F545" s="69"/>
      <c r="G545" s="84">
        <f aca="true" t="shared" si="43" ref="G545:I547">G546</f>
        <v>3882.4</v>
      </c>
      <c r="H545" s="84">
        <f t="shared" si="43"/>
        <v>3882.4</v>
      </c>
      <c r="I545" s="84">
        <f t="shared" si="43"/>
        <v>3882.4</v>
      </c>
    </row>
    <row r="546" spans="1:9" s="11" customFormat="1" ht="16.5">
      <c r="A546" s="118" t="s">
        <v>683</v>
      </c>
      <c r="B546" s="89"/>
      <c r="C546" s="69" t="s">
        <v>40</v>
      </c>
      <c r="D546" s="69" t="s">
        <v>40</v>
      </c>
      <c r="E546" s="69" t="s">
        <v>424</v>
      </c>
      <c r="F546" s="69"/>
      <c r="G546" s="84">
        <f t="shared" si="43"/>
        <v>3882.4</v>
      </c>
      <c r="H546" s="84">
        <f t="shared" si="43"/>
        <v>3882.4</v>
      </c>
      <c r="I546" s="84">
        <f t="shared" si="43"/>
        <v>3882.4</v>
      </c>
    </row>
    <row r="547" spans="1:9" s="11" customFormat="1" ht="33">
      <c r="A547" s="118" t="s">
        <v>577</v>
      </c>
      <c r="B547" s="89"/>
      <c r="C547" s="69" t="s">
        <v>40</v>
      </c>
      <c r="D547" s="69" t="s">
        <v>40</v>
      </c>
      <c r="E547" s="69" t="s">
        <v>423</v>
      </c>
      <c r="F547" s="69"/>
      <c r="G547" s="84">
        <f t="shared" si="43"/>
        <v>3882.4</v>
      </c>
      <c r="H547" s="84">
        <f t="shared" si="43"/>
        <v>3882.4</v>
      </c>
      <c r="I547" s="84">
        <f t="shared" si="43"/>
        <v>3882.4</v>
      </c>
    </row>
    <row r="548" spans="1:9" s="11" customFormat="1" ht="33">
      <c r="A548" s="118" t="s">
        <v>581</v>
      </c>
      <c r="B548" s="89"/>
      <c r="C548" s="69" t="s">
        <v>40</v>
      </c>
      <c r="D548" s="69" t="s">
        <v>40</v>
      </c>
      <c r="E548" s="69" t="s">
        <v>423</v>
      </c>
      <c r="F548" s="69" t="s">
        <v>257</v>
      </c>
      <c r="G548" s="84">
        <f>'прил.16'!G491</f>
        <v>3882.4</v>
      </c>
      <c r="H548" s="84">
        <f>'прил.16'!H491</f>
        <v>3882.4</v>
      </c>
      <c r="I548" s="84">
        <f>'прил.16'!I491</f>
        <v>3882.4</v>
      </c>
    </row>
    <row r="549" spans="1:23" ht="16.5">
      <c r="A549" s="118" t="s">
        <v>380</v>
      </c>
      <c r="B549" s="89">
        <v>806</v>
      </c>
      <c r="C549" s="69" t="s">
        <v>40</v>
      </c>
      <c r="D549" s="69" t="s">
        <v>40</v>
      </c>
      <c r="E549" s="69" t="s">
        <v>381</v>
      </c>
      <c r="F549" s="69"/>
      <c r="G549" s="84">
        <f>G552+G554+G550</f>
        <v>2500</v>
      </c>
      <c r="H549" s="84">
        <f>H552+H554+H550</f>
        <v>5756</v>
      </c>
      <c r="I549" s="84">
        <f>I552+I554+I550</f>
        <v>0</v>
      </c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</row>
    <row r="550" spans="1:23" ht="33">
      <c r="A550" s="120" t="s">
        <v>680</v>
      </c>
      <c r="B550" s="89"/>
      <c r="C550" s="69" t="s">
        <v>40</v>
      </c>
      <c r="D550" s="69" t="s">
        <v>40</v>
      </c>
      <c r="E550" s="69" t="s">
        <v>425</v>
      </c>
      <c r="F550" s="69"/>
      <c r="G550" s="84">
        <f>G551</f>
        <v>0</v>
      </c>
      <c r="H550" s="84">
        <f>H551</f>
        <v>3056</v>
      </c>
      <c r="I550" s="84">
        <f>I551</f>
        <v>0</v>
      </c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</row>
    <row r="551" spans="1:23" ht="33">
      <c r="A551" s="118" t="s">
        <v>581</v>
      </c>
      <c r="B551" s="89"/>
      <c r="C551" s="69" t="s">
        <v>40</v>
      </c>
      <c r="D551" s="69" t="s">
        <v>40</v>
      </c>
      <c r="E551" s="69" t="s">
        <v>425</v>
      </c>
      <c r="F551" s="69" t="s">
        <v>257</v>
      </c>
      <c r="G551" s="84">
        <f>'прил.16'!G494</f>
        <v>0</v>
      </c>
      <c r="H551" s="84">
        <f>'прил.16'!H494</f>
        <v>3056</v>
      </c>
      <c r="I551" s="84">
        <f>'прил.16'!I494</f>
        <v>0</v>
      </c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</row>
    <row r="552" spans="1:23" ht="36" customHeight="1">
      <c r="A552" s="118" t="s">
        <v>816</v>
      </c>
      <c r="B552" s="89">
        <v>806</v>
      </c>
      <c r="C552" s="69" t="s">
        <v>40</v>
      </c>
      <c r="D552" s="69" t="s">
        <v>40</v>
      </c>
      <c r="E552" s="69" t="s">
        <v>77</v>
      </c>
      <c r="F552" s="69"/>
      <c r="G552" s="84">
        <f>G553</f>
        <v>2500</v>
      </c>
      <c r="H552" s="84">
        <f>H553</f>
        <v>2700</v>
      </c>
      <c r="I552" s="84">
        <f>I553</f>
        <v>0</v>
      </c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</row>
    <row r="553" spans="1:23" ht="35.25" customHeight="1">
      <c r="A553" s="119" t="s">
        <v>581</v>
      </c>
      <c r="B553" s="89">
        <v>806</v>
      </c>
      <c r="C553" s="69" t="s">
        <v>40</v>
      </c>
      <c r="D553" s="69" t="s">
        <v>40</v>
      </c>
      <c r="E553" s="69" t="s">
        <v>77</v>
      </c>
      <c r="F553" s="69" t="s">
        <v>257</v>
      </c>
      <c r="G553" s="84">
        <f>'прил.16'!G496+'прил.16'!G916</f>
        <v>2500</v>
      </c>
      <c r="H553" s="84">
        <f>'прил.16'!H496+'прил.16'!H916</f>
        <v>2700</v>
      </c>
      <c r="I553" s="84">
        <f>'прил.16'!I496+'прил.16'!I916</f>
        <v>0</v>
      </c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</row>
    <row r="554" spans="1:23" ht="35.25" customHeight="1" hidden="1">
      <c r="A554" s="116" t="s">
        <v>224</v>
      </c>
      <c r="B554" s="89"/>
      <c r="C554" s="69" t="s">
        <v>40</v>
      </c>
      <c r="D554" s="69" t="s">
        <v>40</v>
      </c>
      <c r="E554" s="69" t="s">
        <v>212</v>
      </c>
      <c r="F554" s="69"/>
      <c r="G554" s="84">
        <f>G555</f>
        <v>0</v>
      </c>
      <c r="H554" s="84">
        <f>H555</f>
        <v>0</v>
      </c>
      <c r="I554" s="84">
        <f>I555</f>
        <v>0</v>
      </c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</row>
    <row r="555" spans="1:23" ht="33" hidden="1">
      <c r="A555" s="119" t="s">
        <v>2</v>
      </c>
      <c r="B555" s="89"/>
      <c r="C555" s="69" t="s">
        <v>40</v>
      </c>
      <c r="D555" s="69" t="s">
        <v>40</v>
      </c>
      <c r="E555" s="69" t="s">
        <v>212</v>
      </c>
      <c r="F555" s="69" t="s">
        <v>1</v>
      </c>
      <c r="G555" s="84"/>
      <c r="H555" s="84"/>
      <c r="I555" s="84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</row>
    <row r="556" spans="1:23" ht="16.5">
      <c r="A556" s="116" t="s">
        <v>349</v>
      </c>
      <c r="B556" s="89"/>
      <c r="C556" s="69" t="s">
        <v>40</v>
      </c>
      <c r="D556" s="69" t="s">
        <v>40</v>
      </c>
      <c r="E556" s="69" t="s">
        <v>343</v>
      </c>
      <c r="F556" s="69"/>
      <c r="G556" s="84">
        <f>G557</f>
        <v>4179.7</v>
      </c>
      <c r="H556" s="84">
        <f>H557</f>
        <v>4732.400000000001</v>
      </c>
      <c r="I556" s="84">
        <f>I557</f>
        <v>8271.6</v>
      </c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</row>
    <row r="557" spans="1:23" ht="16.5">
      <c r="A557" s="116" t="s">
        <v>380</v>
      </c>
      <c r="B557" s="89">
        <v>806</v>
      </c>
      <c r="C557" s="69" t="s">
        <v>40</v>
      </c>
      <c r="D557" s="69" t="s">
        <v>40</v>
      </c>
      <c r="E557" s="69" t="s">
        <v>344</v>
      </c>
      <c r="F557" s="69"/>
      <c r="G557" s="84">
        <f>G558+G560</f>
        <v>4179.7</v>
      </c>
      <c r="H557" s="84">
        <f>H558+H560</f>
        <v>4732.400000000001</v>
      </c>
      <c r="I557" s="84">
        <f>I558+I560</f>
        <v>8271.6</v>
      </c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</row>
    <row r="558" spans="1:23" ht="18" customHeight="1">
      <c r="A558" s="116" t="s">
        <v>199</v>
      </c>
      <c r="B558" s="89">
        <v>806</v>
      </c>
      <c r="C558" s="69" t="s">
        <v>40</v>
      </c>
      <c r="D558" s="69" t="s">
        <v>40</v>
      </c>
      <c r="E558" s="69" t="s">
        <v>354</v>
      </c>
      <c r="F558" s="69"/>
      <c r="G558" s="84">
        <f>G559</f>
        <v>629.3</v>
      </c>
      <c r="H558" s="84">
        <f>H559</f>
        <v>707.6</v>
      </c>
      <c r="I558" s="84">
        <f>I559</f>
        <v>1167.6</v>
      </c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</row>
    <row r="559" spans="1:23" ht="33">
      <c r="A559" s="118" t="s">
        <v>581</v>
      </c>
      <c r="B559" s="89">
        <v>806</v>
      </c>
      <c r="C559" s="69" t="s">
        <v>40</v>
      </c>
      <c r="D559" s="69" t="s">
        <v>40</v>
      </c>
      <c r="E559" s="69" t="s">
        <v>354</v>
      </c>
      <c r="F559" s="69" t="s">
        <v>257</v>
      </c>
      <c r="G559" s="84">
        <f>'прил.16'!G500</f>
        <v>629.3</v>
      </c>
      <c r="H559" s="84">
        <f>'прил.16'!H500</f>
        <v>707.6</v>
      </c>
      <c r="I559" s="84">
        <f>'прил.16'!I500</f>
        <v>1167.6</v>
      </c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</row>
    <row r="560" spans="1:23" ht="16.5" customHeight="1">
      <c r="A560" s="116" t="s">
        <v>776</v>
      </c>
      <c r="B560" s="89">
        <v>806</v>
      </c>
      <c r="C560" s="69" t="s">
        <v>40</v>
      </c>
      <c r="D560" s="69" t="s">
        <v>40</v>
      </c>
      <c r="E560" s="69" t="s">
        <v>350</v>
      </c>
      <c r="F560" s="69"/>
      <c r="G560" s="84">
        <f>G561</f>
        <v>3550.4</v>
      </c>
      <c r="H560" s="84">
        <f>H561</f>
        <v>4024.8</v>
      </c>
      <c r="I560" s="84">
        <f>I561</f>
        <v>7104</v>
      </c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</row>
    <row r="561" spans="1:23" ht="33.75" customHeight="1">
      <c r="A561" s="118" t="s">
        <v>581</v>
      </c>
      <c r="B561" s="89">
        <v>806</v>
      </c>
      <c r="C561" s="69" t="s">
        <v>40</v>
      </c>
      <c r="D561" s="69" t="s">
        <v>40</v>
      </c>
      <c r="E561" s="69" t="s">
        <v>350</v>
      </c>
      <c r="F561" s="69" t="s">
        <v>257</v>
      </c>
      <c r="G561" s="84">
        <f>'прил.16'!G502</f>
        <v>3550.4</v>
      </c>
      <c r="H561" s="84">
        <f>'прил.16'!H502</f>
        <v>4024.8</v>
      </c>
      <c r="I561" s="84">
        <f>'прил.16'!I502</f>
        <v>7104</v>
      </c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</row>
    <row r="562" spans="1:23" ht="16.5">
      <c r="A562" s="116" t="s">
        <v>470</v>
      </c>
      <c r="B562" s="75"/>
      <c r="C562" s="69" t="s">
        <v>471</v>
      </c>
      <c r="D562" s="69"/>
      <c r="E562" s="69"/>
      <c r="F562" s="69"/>
      <c r="G562" s="84">
        <f>G563+G567+G574+G613+G619</f>
        <v>994874.9</v>
      </c>
      <c r="H562" s="84">
        <f>H563+H567+H574+H613+H619</f>
        <v>868260.5</v>
      </c>
      <c r="I562" s="84">
        <f>I563+I567+I574+I613+I619</f>
        <v>882787.7000000001</v>
      </c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</row>
    <row r="563" spans="1:23" ht="16.5">
      <c r="A563" s="116" t="s">
        <v>684</v>
      </c>
      <c r="B563" s="89">
        <v>801</v>
      </c>
      <c r="C563" s="69" t="s">
        <v>471</v>
      </c>
      <c r="D563" s="69" t="s">
        <v>790</v>
      </c>
      <c r="E563" s="69"/>
      <c r="F563" s="69"/>
      <c r="G563" s="84">
        <f>G564</f>
        <v>6423.6</v>
      </c>
      <c r="H563" s="84">
        <f aca="true" t="shared" si="44" ref="H563:I565">H564</f>
        <v>6500</v>
      </c>
      <c r="I563" s="84">
        <f t="shared" si="44"/>
        <v>6500</v>
      </c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</row>
    <row r="564" spans="1:23" s="19" customFormat="1" ht="16.5">
      <c r="A564" s="118" t="s">
        <v>685</v>
      </c>
      <c r="B564" s="89">
        <v>801</v>
      </c>
      <c r="C564" s="69" t="s">
        <v>471</v>
      </c>
      <c r="D564" s="69" t="s">
        <v>790</v>
      </c>
      <c r="E564" s="69" t="s">
        <v>369</v>
      </c>
      <c r="F564" s="69"/>
      <c r="G564" s="84">
        <f>G565</f>
        <v>6423.6</v>
      </c>
      <c r="H564" s="84">
        <f t="shared" si="44"/>
        <v>6500</v>
      </c>
      <c r="I564" s="84">
        <f t="shared" si="44"/>
        <v>6500</v>
      </c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</row>
    <row r="565" spans="1:23" s="20" customFormat="1" ht="33">
      <c r="A565" s="118" t="s">
        <v>686</v>
      </c>
      <c r="B565" s="89">
        <v>801</v>
      </c>
      <c r="C565" s="69" t="s">
        <v>471</v>
      </c>
      <c r="D565" s="69" t="s">
        <v>790</v>
      </c>
      <c r="E565" s="69" t="s">
        <v>372</v>
      </c>
      <c r="F565" s="69"/>
      <c r="G565" s="84">
        <f>G566</f>
        <v>6423.6</v>
      </c>
      <c r="H565" s="84">
        <f t="shared" si="44"/>
        <v>6500</v>
      </c>
      <c r="I565" s="84">
        <f t="shared" si="44"/>
        <v>6500</v>
      </c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</row>
    <row r="566" spans="1:23" ht="16.5">
      <c r="A566" s="119" t="s">
        <v>687</v>
      </c>
      <c r="B566" s="89">
        <v>801</v>
      </c>
      <c r="C566" s="69" t="s">
        <v>471</v>
      </c>
      <c r="D566" s="69" t="s">
        <v>790</v>
      </c>
      <c r="E566" s="69" t="s">
        <v>372</v>
      </c>
      <c r="F566" s="69" t="s">
        <v>51</v>
      </c>
      <c r="G566" s="84">
        <f>'прил.16'!G132</f>
        <v>6423.6</v>
      </c>
      <c r="H566" s="84">
        <f>'прил.16'!H132</f>
        <v>6500</v>
      </c>
      <c r="I566" s="84">
        <f>'прил.16'!I132</f>
        <v>6500</v>
      </c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</row>
    <row r="567" spans="1:23" ht="16.5" hidden="1">
      <c r="A567" s="116" t="s">
        <v>168</v>
      </c>
      <c r="B567" s="89">
        <v>810</v>
      </c>
      <c r="C567" s="69" t="s">
        <v>471</v>
      </c>
      <c r="D567" s="69" t="s">
        <v>791</v>
      </c>
      <c r="E567" s="69"/>
      <c r="F567" s="69"/>
      <c r="G567" s="84">
        <f>G568+G571</f>
        <v>0</v>
      </c>
      <c r="H567" s="84">
        <f>H568+H571</f>
        <v>0</v>
      </c>
      <c r="I567" s="84">
        <f>I568+I571</f>
        <v>0</v>
      </c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</row>
    <row r="568" spans="1:23" ht="16.5" hidden="1">
      <c r="A568" s="116" t="s">
        <v>174</v>
      </c>
      <c r="B568" s="89">
        <v>810</v>
      </c>
      <c r="C568" s="69" t="s">
        <v>471</v>
      </c>
      <c r="D568" s="69" t="s">
        <v>791</v>
      </c>
      <c r="E568" s="69" t="s">
        <v>169</v>
      </c>
      <c r="F568" s="69"/>
      <c r="G568" s="84">
        <f aca="true" t="shared" si="45" ref="G568:I569">G569</f>
        <v>0</v>
      </c>
      <c r="H568" s="84">
        <f t="shared" si="45"/>
        <v>0</v>
      </c>
      <c r="I568" s="84">
        <f t="shared" si="45"/>
        <v>0</v>
      </c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</row>
    <row r="569" spans="1:23" ht="16.5" hidden="1">
      <c r="A569" s="116" t="s">
        <v>389</v>
      </c>
      <c r="B569" s="89">
        <v>810</v>
      </c>
      <c r="C569" s="69" t="s">
        <v>471</v>
      </c>
      <c r="D569" s="69" t="s">
        <v>791</v>
      </c>
      <c r="E569" s="69" t="s">
        <v>175</v>
      </c>
      <c r="F569" s="69"/>
      <c r="G569" s="84">
        <f t="shared" si="45"/>
        <v>0</v>
      </c>
      <c r="H569" s="84">
        <f t="shared" si="45"/>
        <v>0</v>
      </c>
      <c r="I569" s="84">
        <f t="shared" si="45"/>
        <v>0</v>
      </c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</row>
    <row r="570" spans="1:23" ht="16.5" hidden="1">
      <c r="A570" s="118" t="s">
        <v>836</v>
      </c>
      <c r="B570" s="89">
        <v>810</v>
      </c>
      <c r="C570" s="69" t="s">
        <v>471</v>
      </c>
      <c r="D570" s="69" t="s">
        <v>791</v>
      </c>
      <c r="E570" s="69" t="s">
        <v>175</v>
      </c>
      <c r="F570" s="69" t="s">
        <v>545</v>
      </c>
      <c r="G570" s="84">
        <f>'прил.16'!G736</f>
        <v>0</v>
      </c>
      <c r="H570" s="84">
        <f>'прил.16'!H736</f>
        <v>0</v>
      </c>
      <c r="I570" s="84">
        <f>'прил.16'!I736</f>
        <v>0</v>
      </c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</row>
    <row r="571" spans="1:23" ht="18.75" customHeight="1" hidden="1">
      <c r="A571" s="118" t="s">
        <v>159</v>
      </c>
      <c r="B571" s="89"/>
      <c r="C571" s="69" t="s">
        <v>471</v>
      </c>
      <c r="D571" s="69" t="s">
        <v>791</v>
      </c>
      <c r="E571" s="69" t="s">
        <v>157</v>
      </c>
      <c r="F571" s="69"/>
      <c r="G571" s="84">
        <f aca="true" t="shared" si="46" ref="G571:I572">G572</f>
        <v>0</v>
      </c>
      <c r="H571" s="84">
        <f t="shared" si="46"/>
        <v>0</v>
      </c>
      <c r="I571" s="84">
        <f t="shared" si="46"/>
        <v>0</v>
      </c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</row>
    <row r="572" spans="1:23" ht="123.75" customHeight="1" hidden="1">
      <c r="A572" s="118" t="s">
        <v>228</v>
      </c>
      <c r="B572" s="89"/>
      <c r="C572" s="69" t="s">
        <v>471</v>
      </c>
      <c r="D572" s="69" t="s">
        <v>791</v>
      </c>
      <c r="E572" s="69" t="s">
        <v>155</v>
      </c>
      <c r="F572" s="69"/>
      <c r="G572" s="84">
        <f t="shared" si="46"/>
        <v>0</v>
      </c>
      <c r="H572" s="84">
        <f t="shared" si="46"/>
        <v>0</v>
      </c>
      <c r="I572" s="84">
        <f t="shared" si="46"/>
        <v>0</v>
      </c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</row>
    <row r="573" spans="1:23" ht="18" customHeight="1" hidden="1">
      <c r="A573" s="118" t="s">
        <v>836</v>
      </c>
      <c r="B573" s="89"/>
      <c r="C573" s="69" t="s">
        <v>471</v>
      </c>
      <c r="D573" s="69" t="s">
        <v>791</v>
      </c>
      <c r="E573" s="69" t="s">
        <v>155</v>
      </c>
      <c r="F573" s="69" t="s">
        <v>545</v>
      </c>
      <c r="G573" s="84">
        <f>'прил.16'!G739</f>
        <v>0</v>
      </c>
      <c r="H573" s="84">
        <f>'прил.16'!H739</f>
        <v>0</v>
      </c>
      <c r="I573" s="84">
        <f>'прил.16'!I739</f>
        <v>0</v>
      </c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</row>
    <row r="574" spans="1:23" ht="16.5">
      <c r="A574" s="116" t="s">
        <v>373</v>
      </c>
      <c r="B574" s="89">
        <v>810</v>
      </c>
      <c r="C574" s="69" t="s">
        <v>471</v>
      </c>
      <c r="D574" s="69" t="s">
        <v>792</v>
      </c>
      <c r="E574" s="69"/>
      <c r="F574" s="69"/>
      <c r="G574" s="84">
        <f>G578+G588+G597+G600</f>
        <v>879536.1</v>
      </c>
      <c r="H574" s="84">
        <f>H578+H588+H597+H600</f>
        <v>762071.7</v>
      </c>
      <c r="I574" s="84">
        <f>I578+I588+I597+I600</f>
        <v>775738.5</v>
      </c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</row>
    <row r="575" spans="1:23" ht="18.75" customHeight="1" hidden="1">
      <c r="A575" s="118" t="s">
        <v>550</v>
      </c>
      <c r="B575" s="89"/>
      <c r="C575" s="69" t="s">
        <v>471</v>
      </c>
      <c r="D575" s="69" t="s">
        <v>792</v>
      </c>
      <c r="E575" s="69" t="s">
        <v>374</v>
      </c>
      <c r="F575" s="69"/>
      <c r="G575" s="84" t="e">
        <f aca="true" t="shared" si="47" ref="G575:I576">G576</f>
        <v>#REF!</v>
      </c>
      <c r="H575" s="84" t="e">
        <f t="shared" si="47"/>
        <v>#REF!</v>
      </c>
      <c r="I575" s="84" t="e">
        <f t="shared" si="47"/>
        <v>#REF!</v>
      </c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</row>
    <row r="576" spans="1:23" ht="16.5" hidden="1">
      <c r="A576" s="122" t="s">
        <v>375</v>
      </c>
      <c r="B576" s="89"/>
      <c r="C576" s="69" t="s">
        <v>471</v>
      </c>
      <c r="D576" s="69" t="s">
        <v>792</v>
      </c>
      <c r="E576" s="69" t="s">
        <v>376</v>
      </c>
      <c r="F576" s="69"/>
      <c r="G576" s="84" t="e">
        <f t="shared" si="47"/>
        <v>#REF!</v>
      </c>
      <c r="H576" s="84" t="e">
        <f t="shared" si="47"/>
        <v>#REF!</v>
      </c>
      <c r="I576" s="84" t="e">
        <f t="shared" si="47"/>
        <v>#REF!</v>
      </c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</row>
    <row r="577" spans="1:23" ht="16.5" hidden="1">
      <c r="A577" s="116" t="s">
        <v>377</v>
      </c>
      <c r="B577" s="89"/>
      <c r="C577" s="69" t="s">
        <v>471</v>
      </c>
      <c r="D577" s="69" t="s">
        <v>792</v>
      </c>
      <c r="E577" s="69" t="s">
        <v>376</v>
      </c>
      <c r="F577" s="69" t="s">
        <v>824</v>
      </c>
      <c r="G577" s="84" t="e">
        <f>'прил.16'!#REF!</f>
        <v>#REF!</v>
      </c>
      <c r="H577" s="84" t="e">
        <f>'прил.16'!#REF!</f>
        <v>#REF!</v>
      </c>
      <c r="I577" s="84" t="e">
        <f>'прил.16'!#REF!</f>
        <v>#REF!</v>
      </c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</row>
    <row r="578" spans="1:23" s="19" customFormat="1" ht="16.5">
      <c r="A578" s="116" t="s">
        <v>688</v>
      </c>
      <c r="B578" s="89">
        <v>810</v>
      </c>
      <c r="C578" s="69" t="s">
        <v>471</v>
      </c>
      <c r="D578" s="69" t="s">
        <v>792</v>
      </c>
      <c r="E578" s="69" t="s">
        <v>378</v>
      </c>
      <c r="F578" s="69"/>
      <c r="G578" s="84">
        <f>G579+G584+G586</f>
        <v>219860.6</v>
      </c>
      <c r="H578" s="84">
        <f>H579+H584+H586</f>
        <v>233392.90000000002</v>
      </c>
      <c r="I578" s="84">
        <f>I579+I584+I586</f>
        <v>246771.80000000002</v>
      </c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</row>
    <row r="579" spans="1:23" s="20" customFormat="1" ht="136.5" customHeight="1">
      <c r="A579" s="120" t="s">
        <v>236</v>
      </c>
      <c r="B579" s="89">
        <v>801</v>
      </c>
      <c r="C579" s="69" t="s">
        <v>471</v>
      </c>
      <c r="D579" s="69" t="s">
        <v>792</v>
      </c>
      <c r="E579" s="69" t="s">
        <v>379</v>
      </c>
      <c r="F579" s="69"/>
      <c r="G579" s="84">
        <f>G581+G583</f>
        <v>12333.6</v>
      </c>
      <c r="H579" s="84">
        <f>H581+H583</f>
        <v>12333.6</v>
      </c>
      <c r="I579" s="84">
        <f>I581+I583</f>
        <v>12333.6</v>
      </c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</row>
    <row r="580" spans="1:9" s="11" customFormat="1" ht="88.5" customHeight="1" hidden="1">
      <c r="A580" s="120" t="s">
        <v>464</v>
      </c>
      <c r="B580" s="89"/>
      <c r="C580" s="69" t="s">
        <v>471</v>
      </c>
      <c r="D580" s="69" t="s">
        <v>792</v>
      </c>
      <c r="E580" s="69" t="s">
        <v>56</v>
      </c>
      <c r="F580" s="69"/>
      <c r="G580" s="84">
        <f>G581</f>
        <v>0</v>
      </c>
      <c r="H580" s="84">
        <f>H581</f>
        <v>0</v>
      </c>
      <c r="I580" s="84">
        <f>I581</f>
        <v>0</v>
      </c>
    </row>
    <row r="581" spans="1:9" s="11" customFormat="1" ht="18" customHeight="1" hidden="1">
      <c r="A581" s="116" t="s">
        <v>541</v>
      </c>
      <c r="B581" s="89"/>
      <c r="C581" s="69" t="s">
        <v>471</v>
      </c>
      <c r="D581" s="69" t="s">
        <v>792</v>
      </c>
      <c r="E581" s="69" t="s">
        <v>56</v>
      </c>
      <c r="F581" s="69" t="s">
        <v>51</v>
      </c>
      <c r="G581" s="84">
        <f>'прил.16'!G137</f>
        <v>0</v>
      </c>
      <c r="H581" s="84">
        <f>'прил.16'!H137</f>
        <v>0</v>
      </c>
      <c r="I581" s="84">
        <f>'прил.16'!I137</f>
        <v>0</v>
      </c>
    </row>
    <row r="582" spans="1:9" s="11" customFormat="1" ht="67.5" customHeight="1">
      <c r="A582" s="124" t="s">
        <v>432</v>
      </c>
      <c r="B582" s="89"/>
      <c r="C582" s="69" t="s">
        <v>471</v>
      </c>
      <c r="D582" s="69" t="s">
        <v>792</v>
      </c>
      <c r="E582" s="69" t="s">
        <v>520</v>
      </c>
      <c r="F582" s="69"/>
      <c r="G582" s="84">
        <f>G583</f>
        <v>12333.6</v>
      </c>
      <c r="H582" s="84">
        <f>H583</f>
        <v>12333.6</v>
      </c>
      <c r="I582" s="84">
        <f>I583</f>
        <v>12333.6</v>
      </c>
    </row>
    <row r="583" spans="1:23" ht="16.5">
      <c r="A583" s="116" t="s">
        <v>541</v>
      </c>
      <c r="B583" s="89">
        <v>801</v>
      </c>
      <c r="C583" s="69" t="s">
        <v>471</v>
      </c>
      <c r="D583" s="69" t="s">
        <v>792</v>
      </c>
      <c r="E583" s="69" t="s">
        <v>520</v>
      </c>
      <c r="F583" s="69" t="s">
        <v>51</v>
      </c>
      <c r="G583" s="84">
        <f>'прил.16'!G139</f>
        <v>12333.6</v>
      </c>
      <c r="H583" s="84">
        <f>'прил.16'!H139</f>
        <v>12333.6</v>
      </c>
      <c r="I583" s="84">
        <f>'прил.16'!I139</f>
        <v>12333.6</v>
      </c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</row>
    <row r="584" spans="1:9" s="11" customFormat="1" ht="32.25" customHeight="1">
      <c r="A584" s="119" t="s">
        <v>312</v>
      </c>
      <c r="B584" s="89"/>
      <c r="C584" s="69" t="s">
        <v>471</v>
      </c>
      <c r="D584" s="69" t="s">
        <v>792</v>
      </c>
      <c r="E584" s="69" t="s">
        <v>206</v>
      </c>
      <c r="F584" s="69"/>
      <c r="G584" s="84">
        <f>G585</f>
        <v>152963.5</v>
      </c>
      <c r="H584" s="84">
        <f>H585</f>
        <v>168894.7</v>
      </c>
      <c r="I584" s="84">
        <f>I585</f>
        <v>182273.6</v>
      </c>
    </row>
    <row r="585" spans="1:9" s="11" customFormat="1" ht="17.25" customHeight="1">
      <c r="A585" s="119" t="s">
        <v>687</v>
      </c>
      <c r="B585" s="89"/>
      <c r="C585" s="69" t="s">
        <v>471</v>
      </c>
      <c r="D585" s="69" t="s">
        <v>792</v>
      </c>
      <c r="E585" s="69" t="s">
        <v>80</v>
      </c>
      <c r="F585" s="69" t="s">
        <v>51</v>
      </c>
      <c r="G585" s="84">
        <f>'прил.16'!G743</f>
        <v>152963.5</v>
      </c>
      <c r="H585" s="84">
        <f>'прил.16'!H743</f>
        <v>168894.7</v>
      </c>
      <c r="I585" s="84">
        <f>'прил.16'!I743</f>
        <v>182273.6</v>
      </c>
    </row>
    <row r="586" spans="1:23" ht="36" customHeight="1">
      <c r="A586" s="132" t="s">
        <v>328</v>
      </c>
      <c r="B586" s="89">
        <v>810</v>
      </c>
      <c r="C586" s="69" t="s">
        <v>471</v>
      </c>
      <c r="D586" s="69" t="s">
        <v>792</v>
      </c>
      <c r="E586" s="69" t="s">
        <v>274</v>
      </c>
      <c r="F586" s="69"/>
      <c r="G586" s="84">
        <f>G587</f>
        <v>54563.5</v>
      </c>
      <c r="H586" s="84">
        <f>H587</f>
        <v>52164.6</v>
      </c>
      <c r="I586" s="84">
        <f>I587</f>
        <v>52164.6</v>
      </c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</row>
    <row r="587" spans="1:23" ht="21" customHeight="1">
      <c r="A587" s="119" t="s">
        <v>687</v>
      </c>
      <c r="B587" s="89">
        <v>810</v>
      </c>
      <c r="C587" s="69" t="s">
        <v>471</v>
      </c>
      <c r="D587" s="69" t="s">
        <v>792</v>
      </c>
      <c r="E587" s="69" t="s">
        <v>274</v>
      </c>
      <c r="F587" s="69" t="s">
        <v>51</v>
      </c>
      <c r="G587" s="84">
        <f>'прил.16'!G745</f>
        <v>54563.5</v>
      </c>
      <c r="H587" s="84">
        <f>'прил.16'!H745</f>
        <v>52164.6</v>
      </c>
      <c r="I587" s="84">
        <f>'прил.16'!I745</f>
        <v>52164.6</v>
      </c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</row>
    <row r="588" spans="1:23" ht="19.5" customHeight="1">
      <c r="A588" s="119" t="s">
        <v>414</v>
      </c>
      <c r="B588" s="89">
        <v>810</v>
      </c>
      <c r="C588" s="69" t="s">
        <v>471</v>
      </c>
      <c r="D588" s="69" t="s">
        <v>792</v>
      </c>
      <c r="E588" s="69" t="s">
        <v>416</v>
      </c>
      <c r="F588" s="69"/>
      <c r="G588" s="84">
        <f>G589+G592</f>
        <v>7457</v>
      </c>
      <c r="H588" s="84">
        <f>H589+H592</f>
        <v>7915.200000000001</v>
      </c>
      <c r="I588" s="84">
        <f>I589+I592</f>
        <v>8418.3</v>
      </c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</row>
    <row r="589" spans="1:23" ht="20.25" customHeight="1">
      <c r="A589" s="116" t="s">
        <v>689</v>
      </c>
      <c r="B589" s="89">
        <v>810</v>
      </c>
      <c r="C589" s="69" t="s">
        <v>471</v>
      </c>
      <c r="D589" s="69" t="s">
        <v>792</v>
      </c>
      <c r="E589" s="69" t="s">
        <v>417</v>
      </c>
      <c r="F589" s="69"/>
      <c r="G589" s="84">
        <f>G590</f>
        <v>6518.2</v>
      </c>
      <c r="H589" s="84">
        <f>H590</f>
        <v>6933.8</v>
      </c>
      <c r="I589" s="84">
        <f>I590</f>
        <v>7394.599999999999</v>
      </c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</row>
    <row r="590" spans="1:23" ht="20.25" customHeight="1">
      <c r="A590" s="116" t="s">
        <v>796</v>
      </c>
      <c r="B590" s="89">
        <v>810</v>
      </c>
      <c r="C590" s="69" t="s">
        <v>471</v>
      </c>
      <c r="D590" s="69" t="s">
        <v>792</v>
      </c>
      <c r="E590" s="69" t="s">
        <v>795</v>
      </c>
      <c r="F590" s="69"/>
      <c r="G590" s="84">
        <f>SUM(G591)</f>
        <v>6518.2</v>
      </c>
      <c r="H590" s="84">
        <f>SUM(H591)</f>
        <v>6933.8</v>
      </c>
      <c r="I590" s="84">
        <f>SUM(I591)</f>
        <v>7394.599999999999</v>
      </c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</row>
    <row r="591" spans="1:23" ht="21.75" customHeight="1">
      <c r="A591" s="119" t="s">
        <v>415</v>
      </c>
      <c r="B591" s="89">
        <v>810</v>
      </c>
      <c r="C591" s="69" t="s">
        <v>471</v>
      </c>
      <c r="D591" s="69" t="s">
        <v>792</v>
      </c>
      <c r="E591" s="69" t="s">
        <v>795</v>
      </c>
      <c r="F591" s="69" t="s">
        <v>39</v>
      </c>
      <c r="G591" s="84">
        <f>'прил.16'!G749+'прил.16'!G245</f>
        <v>6518.2</v>
      </c>
      <c r="H591" s="84">
        <f>'прил.16'!H749+'прил.16'!H245</f>
        <v>6933.8</v>
      </c>
      <c r="I591" s="84">
        <f>'прил.16'!I749+'прил.16'!I245</f>
        <v>7394.599999999999</v>
      </c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</row>
    <row r="592" spans="1:23" ht="21.75" customHeight="1">
      <c r="A592" s="119" t="s">
        <v>831</v>
      </c>
      <c r="B592" s="89"/>
      <c r="C592" s="69" t="s">
        <v>471</v>
      </c>
      <c r="D592" s="69" t="s">
        <v>792</v>
      </c>
      <c r="E592" s="69" t="s">
        <v>828</v>
      </c>
      <c r="F592" s="69"/>
      <c r="G592" s="84">
        <f>G593+G595</f>
        <v>938.8</v>
      </c>
      <c r="H592" s="84">
        <f>H593+H595</f>
        <v>981.4000000000001</v>
      </c>
      <c r="I592" s="84">
        <f>I593+I595</f>
        <v>1023.6999999999999</v>
      </c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</row>
    <row r="593" spans="1:23" ht="36" customHeight="1">
      <c r="A593" s="119" t="s">
        <v>832</v>
      </c>
      <c r="B593" s="89">
        <v>810</v>
      </c>
      <c r="C593" s="69" t="s">
        <v>471</v>
      </c>
      <c r="D593" s="69" t="s">
        <v>792</v>
      </c>
      <c r="E593" s="69" t="s">
        <v>829</v>
      </c>
      <c r="F593" s="69"/>
      <c r="G593" s="84">
        <f>G594</f>
        <v>576.8</v>
      </c>
      <c r="H593" s="84">
        <f>H594</f>
        <v>601.2</v>
      </c>
      <c r="I593" s="84">
        <f>I594</f>
        <v>625.3</v>
      </c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</row>
    <row r="594" spans="1:23" ht="18.75" customHeight="1">
      <c r="A594" s="119" t="s">
        <v>687</v>
      </c>
      <c r="B594" s="89">
        <v>810</v>
      </c>
      <c r="C594" s="69" t="s">
        <v>471</v>
      </c>
      <c r="D594" s="69" t="s">
        <v>792</v>
      </c>
      <c r="E594" s="69" t="s">
        <v>829</v>
      </c>
      <c r="F594" s="69" t="s">
        <v>51</v>
      </c>
      <c r="G594" s="84">
        <f>'прил.16'!G752</f>
        <v>576.8</v>
      </c>
      <c r="H594" s="84">
        <f>'прил.16'!H752</f>
        <v>601.2</v>
      </c>
      <c r="I594" s="84">
        <f>'прил.16'!I752</f>
        <v>625.3</v>
      </c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</row>
    <row r="595" spans="1:23" ht="36" customHeight="1">
      <c r="A595" s="119" t="s">
        <v>833</v>
      </c>
      <c r="B595" s="89">
        <v>810</v>
      </c>
      <c r="C595" s="69" t="s">
        <v>471</v>
      </c>
      <c r="D595" s="69" t="s">
        <v>792</v>
      </c>
      <c r="E595" s="69" t="s">
        <v>830</v>
      </c>
      <c r="F595" s="69"/>
      <c r="G595" s="84">
        <f>G596</f>
        <v>362</v>
      </c>
      <c r="H595" s="84">
        <f>H596</f>
        <v>380.2</v>
      </c>
      <c r="I595" s="84">
        <f>I596</f>
        <v>398.4</v>
      </c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</row>
    <row r="596" spans="1:23" ht="16.5" customHeight="1">
      <c r="A596" s="119" t="s">
        <v>687</v>
      </c>
      <c r="B596" s="89">
        <v>810</v>
      </c>
      <c r="C596" s="69" t="s">
        <v>471</v>
      </c>
      <c r="D596" s="69" t="s">
        <v>792</v>
      </c>
      <c r="E596" s="69" t="s">
        <v>830</v>
      </c>
      <c r="F596" s="69" t="s">
        <v>51</v>
      </c>
      <c r="G596" s="84">
        <f>'прил.16'!G754</f>
        <v>362</v>
      </c>
      <c r="H596" s="84">
        <f>'прил.16'!H754</f>
        <v>380.2</v>
      </c>
      <c r="I596" s="84">
        <f>'прил.16'!I754</f>
        <v>398.4</v>
      </c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</row>
    <row r="597" spans="1:23" ht="18" customHeight="1" hidden="1">
      <c r="A597" s="116" t="s">
        <v>380</v>
      </c>
      <c r="B597" s="89">
        <v>801</v>
      </c>
      <c r="C597" s="69" t="s">
        <v>471</v>
      </c>
      <c r="D597" s="69" t="s">
        <v>792</v>
      </c>
      <c r="E597" s="69" t="s">
        <v>381</v>
      </c>
      <c r="F597" s="69"/>
      <c r="G597" s="84">
        <f aca="true" t="shared" si="48" ref="G597:I598">G598</f>
        <v>400</v>
      </c>
      <c r="H597" s="84">
        <f t="shared" si="48"/>
        <v>0</v>
      </c>
      <c r="I597" s="84">
        <f t="shared" si="48"/>
        <v>0</v>
      </c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</row>
    <row r="598" spans="1:23" ht="33.75" customHeight="1" hidden="1">
      <c r="A598" s="134" t="s">
        <v>726</v>
      </c>
      <c r="B598" s="89">
        <v>801</v>
      </c>
      <c r="C598" s="69" t="s">
        <v>471</v>
      </c>
      <c r="D598" s="69" t="s">
        <v>792</v>
      </c>
      <c r="E598" s="69" t="s">
        <v>382</v>
      </c>
      <c r="F598" s="69"/>
      <c r="G598" s="84">
        <f t="shared" si="48"/>
        <v>400</v>
      </c>
      <c r="H598" s="84">
        <f t="shared" si="48"/>
        <v>0</v>
      </c>
      <c r="I598" s="84">
        <f t="shared" si="48"/>
        <v>0</v>
      </c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</row>
    <row r="599" spans="1:23" ht="15.75" customHeight="1" hidden="1">
      <c r="A599" s="116" t="s">
        <v>377</v>
      </c>
      <c r="B599" s="89">
        <v>801</v>
      </c>
      <c r="C599" s="69" t="s">
        <v>471</v>
      </c>
      <c r="D599" s="69" t="s">
        <v>792</v>
      </c>
      <c r="E599" s="69" t="s">
        <v>382</v>
      </c>
      <c r="F599" s="69" t="s">
        <v>824</v>
      </c>
      <c r="G599" s="84">
        <f>'прил.16'!G142</f>
        <v>400</v>
      </c>
      <c r="H599" s="84">
        <f>'прил.16'!H142</f>
        <v>0</v>
      </c>
      <c r="I599" s="84">
        <f>'прил.16'!I142</f>
        <v>0</v>
      </c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</row>
    <row r="600" spans="1:23" ht="15.75" customHeight="1">
      <c r="A600" s="116" t="s">
        <v>609</v>
      </c>
      <c r="B600" s="89"/>
      <c r="C600" s="69" t="s">
        <v>471</v>
      </c>
      <c r="D600" s="69" t="s">
        <v>792</v>
      </c>
      <c r="E600" s="69" t="s">
        <v>15</v>
      </c>
      <c r="F600" s="69"/>
      <c r="G600" s="84">
        <f>G606+G608+G601</f>
        <v>651818.5</v>
      </c>
      <c r="H600" s="84">
        <f>H606+H608+H601</f>
        <v>520763.6</v>
      </c>
      <c r="I600" s="84">
        <f>I606+I608+I601</f>
        <v>520548.4</v>
      </c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</row>
    <row r="601" spans="1:23" ht="21.75" customHeight="1">
      <c r="A601" s="118" t="s">
        <v>640</v>
      </c>
      <c r="B601" s="89"/>
      <c r="C601" s="69" t="s">
        <v>471</v>
      </c>
      <c r="D601" s="69" t="s">
        <v>792</v>
      </c>
      <c r="E601" s="69" t="s">
        <v>18</v>
      </c>
      <c r="F601" s="69"/>
      <c r="G601" s="84">
        <f>G602+G604</f>
        <v>5967.7</v>
      </c>
      <c r="H601" s="84">
        <f>H602+H604</f>
        <v>5673</v>
      </c>
      <c r="I601" s="84">
        <f>I602+I604</f>
        <v>5673</v>
      </c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</row>
    <row r="602" spans="1:23" ht="135.75" customHeight="1">
      <c r="A602" s="118" t="s">
        <v>707</v>
      </c>
      <c r="B602" s="89"/>
      <c r="C602" s="69" t="s">
        <v>471</v>
      </c>
      <c r="D602" s="69" t="s">
        <v>792</v>
      </c>
      <c r="E602" s="69" t="s">
        <v>20</v>
      </c>
      <c r="F602" s="69"/>
      <c r="G602" s="84">
        <f>G603</f>
        <v>2474.5</v>
      </c>
      <c r="H602" s="84">
        <f>H603</f>
        <v>2354.5</v>
      </c>
      <c r="I602" s="84">
        <f>I603</f>
        <v>2354.5</v>
      </c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</row>
    <row r="603" spans="1:23" ht="15.75" customHeight="1">
      <c r="A603" s="116" t="s">
        <v>541</v>
      </c>
      <c r="B603" s="89"/>
      <c r="C603" s="69" t="s">
        <v>471</v>
      </c>
      <c r="D603" s="69" t="s">
        <v>792</v>
      </c>
      <c r="E603" s="69" t="s">
        <v>20</v>
      </c>
      <c r="F603" s="69" t="s">
        <v>51</v>
      </c>
      <c r="G603" s="84">
        <f>'прил.16'!G392+'прил.16'!G758</f>
        <v>2474.5</v>
      </c>
      <c r="H603" s="84">
        <f>'прил.16'!H392+'прил.16'!H758</f>
        <v>2354.5</v>
      </c>
      <c r="I603" s="84">
        <f>'прил.16'!I392+'прил.16'!I758</f>
        <v>2354.5</v>
      </c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</row>
    <row r="604" spans="1:23" ht="136.5" customHeight="1">
      <c r="A604" s="131" t="s">
        <v>814</v>
      </c>
      <c r="B604" s="89"/>
      <c r="C604" s="69" t="s">
        <v>471</v>
      </c>
      <c r="D604" s="69" t="s">
        <v>792</v>
      </c>
      <c r="E604" s="69" t="s">
        <v>460</v>
      </c>
      <c r="F604" s="69"/>
      <c r="G604" s="84">
        <f>G605</f>
        <v>3493.2</v>
      </c>
      <c r="H604" s="84">
        <f>H605</f>
        <v>3318.5</v>
      </c>
      <c r="I604" s="84">
        <f>I605</f>
        <v>3318.5</v>
      </c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</row>
    <row r="605" spans="1:23" ht="19.5" customHeight="1">
      <c r="A605" s="116" t="s">
        <v>541</v>
      </c>
      <c r="B605" s="89"/>
      <c r="C605" s="69" t="s">
        <v>471</v>
      </c>
      <c r="D605" s="69" t="s">
        <v>792</v>
      </c>
      <c r="E605" s="69" t="s">
        <v>460</v>
      </c>
      <c r="F605" s="69" t="s">
        <v>51</v>
      </c>
      <c r="G605" s="84">
        <f>'прил.16'!G394</f>
        <v>3493.2</v>
      </c>
      <c r="H605" s="84">
        <f>'прил.16'!H394</f>
        <v>3318.5</v>
      </c>
      <c r="I605" s="84">
        <f>'прил.16'!I394</f>
        <v>3318.5</v>
      </c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</row>
    <row r="606" spans="1:23" ht="123.75" customHeight="1">
      <c r="A606" s="131" t="s">
        <v>708</v>
      </c>
      <c r="B606" s="89"/>
      <c r="C606" s="69" t="s">
        <v>471</v>
      </c>
      <c r="D606" s="69" t="s">
        <v>792</v>
      </c>
      <c r="E606" s="69" t="s">
        <v>13</v>
      </c>
      <c r="F606" s="69"/>
      <c r="G606" s="84">
        <f>G607</f>
        <v>502950.8</v>
      </c>
      <c r="H606" s="84">
        <f>H607</f>
        <v>379247.2</v>
      </c>
      <c r="I606" s="84">
        <f>I607</f>
        <v>379032</v>
      </c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</row>
    <row r="607" spans="1:23" ht="15.75" customHeight="1">
      <c r="A607" s="116" t="s">
        <v>541</v>
      </c>
      <c r="B607" s="89"/>
      <c r="C607" s="69" t="s">
        <v>471</v>
      </c>
      <c r="D607" s="69" t="s">
        <v>792</v>
      </c>
      <c r="E607" s="69" t="s">
        <v>13</v>
      </c>
      <c r="F607" s="69" t="s">
        <v>51</v>
      </c>
      <c r="G607" s="84">
        <f>'прил.16'!G760</f>
        <v>502950.8</v>
      </c>
      <c r="H607" s="84">
        <f>'прил.16'!H760</f>
        <v>379247.2</v>
      </c>
      <c r="I607" s="84">
        <f>'прил.16'!I760</f>
        <v>379032</v>
      </c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</row>
    <row r="608" spans="1:23" ht="153" customHeight="1">
      <c r="A608" s="131" t="s">
        <v>821</v>
      </c>
      <c r="B608" s="89"/>
      <c r="C608" s="69" t="s">
        <v>471</v>
      </c>
      <c r="D608" s="69" t="s">
        <v>792</v>
      </c>
      <c r="E608" s="69" t="s">
        <v>16</v>
      </c>
      <c r="F608" s="69"/>
      <c r="G608" s="84">
        <f>G609</f>
        <v>142900</v>
      </c>
      <c r="H608" s="84">
        <f>H609</f>
        <v>135843.4</v>
      </c>
      <c r="I608" s="84">
        <f>I609</f>
        <v>135843.4</v>
      </c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</row>
    <row r="609" spans="1:23" ht="15.75" customHeight="1">
      <c r="A609" s="116" t="s">
        <v>541</v>
      </c>
      <c r="B609" s="89"/>
      <c r="C609" s="69" t="s">
        <v>471</v>
      </c>
      <c r="D609" s="69" t="s">
        <v>792</v>
      </c>
      <c r="E609" s="69" t="s">
        <v>16</v>
      </c>
      <c r="F609" s="69" t="s">
        <v>51</v>
      </c>
      <c r="G609" s="84">
        <f>'прил.16'!G762</f>
        <v>142900</v>
      </c>
      <c r="H609" s="84">
        <f>'прил.16'!H762</f>
        <v>135843.4</v>
      </c>
      <c r="I609" s="84">
        <f>'прил.16'!I762</f>
        <v>135843.4</v>
      </c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</row>
    <row r="610" spans="1:23" ht="17.25" customHeight="1" hidden="1">
      <c r="A610" s="116" t="s">
        <v>383</v>
      </c>
      <c r="B610" s="89">
        <v>801</v>
      </c>
      <c r="C610" s="69" t="s">
        <v>471</v>
      </c>
      <c r="D610" s="69" t="s">
        <v>792</v>
      </c>
      <c r="E610" s="69" t="s">
        <v>343</v>
      </c>
      <c r="F610" s="69"/>
      <c r="G610" s="84">
        <f aca="true" t="shared" si="49" ref="G610:I611">G611</f>
        <v>0</v>
      </c>
      <c r="H610" s="84">
        <f t="shared" si="49"/>
        <v>0</v>
      </c>
      <c r="I610" s="84">
        <f t="shared" si="49"/>
        <v>0</v>
      </c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</row>
    <row r="611" spans="1:23" ht="18" customHeight="1" hidden="1">
      <c r="A611" s="116" t="s">
        <v>780</v>
      </c>
      <c r="B611" s="89">
        <v>801</v>
      </c>
      <c r="C611" s="69" t="s">
        <v>471</v>
      </c>
      <c r="D611" s="69" t="s">
        <v>792</v>
      </c>
      <c r="E611" s="69" t="s">
        <v>534</v>
      </c>
      <c r="F611" s="69"/>
      <c r="G611" s="84">
        <f t="shared" si="49"/>
        <v>0</v>
      </c>
      <c r="H611" s="84">
        <f t="shared" si="49"/>
        <v>0</v>
      </c>
      <c r="I611" s="84">
        <f t="shared" si="49"/>
        <v>0</v>
      </c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</row>
    <row r="612" spans="1:23" ht="18" customHeight="1" hidden="1">
      <c r="A612" s="116" t="s">
        <v>377</v>
      </c>
      <c r="B612" s="89">
        <v>801</v>
      </c>
      <c r="C612" s="69" t="s">
        <v>471</v>
      </c>
      <c r="D612" s="69" t="s">
        <v>792</v>
      </c>
      <c r="E612" s="69" t="s">
        <v>534</v>
      </c>
      <c r="F612" s="69" t="s">
        <v>824</v>
      </c>
      <c r="G612" s="84">
        <f>'прил.16'!G145</f>
        <v>0</v>
      </c>
      <c r="H612" s="84">
        <f>'прил.16'!H145</f>
        <v>0</v>
      </c>
      <c r="I612" s="84">
        <f>'прил.16'!I145</f>
        <v>0</v>
      </c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</row>
    <row r="613" spans="1:23" ht="17.25" customHeight="1">
      <c r="A613" s="116" t="s">
        <v>747</v>
      </c>
      <c r="B613" s="89">
        <v>805</v>
      </c>
      <c r="C613" s="69" t="s">
        <v>471</v>
      </c>
      <c r="D613" s="69" t="s">
        <v>793</v>
      </c>
      <c r="E613" s="69"/>
      <c r="F613" s="69"/>
      <c r="G613" s="84">
        <f>G614</f>
        <v>79701.9</v>
      </c>
      <c r="H613" s="84">
        <f>H614</f>
        <v>75716.8</v>
      </c>
      <c r="I613" s="84">
        <f>I614</f>
        <v>75716.8</v>
      </c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</row>
    <row r="614" spans="1:23" ht="18.75" customHeight="1">
      <c r="A614" s="119" t="s">
        <v>671</v>
      </c>
      <c r="B614" s="89">
        <v>805</v>
      </c>
      <c r="C614" s="69" t="s">
        <v>471</v>
      </c>
      <c r="D614" s="69" t="s">
        <v>793</v>
      </c>
      <c r="E614" s="69" t="s">
        <v>441</v>
      </c>
      <c r="F614" s="69"/>
      <c r="G614" s="84">
        <f>G615+G617</f>
        <v>79701.9</v>
      </c>
      <c r="H614" s="84">
        <f>H615+H617</f>
        <v>75716.8</v>
      </c>
      <c r="I614" s="84">
        <f>I615+I617</f>
        <v>75716.8</v>
      </c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</row>
    <row r="615" spans="1:23" ht="69.75" customHeight="1">
      <c r="A615" s="132" t="s">
        <v>326</v>
      </c>
      <c r="B615" s="89">
        <v>805</v>
      </c>
      <c r="C615" s="69" t="s">
        <v>471</v>
      </c>
      <c r="D615" s="69" t="s">
        <v>793</v>
      </c>
      <c r="E615" s="69" t="s">
        <v>282</v>
      </c>
      <c r="F615" s="69"/>
      <c r="G615" s="84">
        <f>G616</f>
        <v>43799.9</v>
      </c>
      <c r="H615" s="84">
        <f>H616</f>
        <v>41609.9</v>
      </c>
      <c r="I615" s="84">
        <f>I616</f>
        <v>41609.9</v>
      </c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</row>
    <row r="616" spans="1:23" ht="18" customHeight="1">
      <c r="A616" s="131" t="s">
        <v>541</v>
      </c>
      <c r="B616" s="89">
        <v>805</v>
      </c>
      <c r="C616" s="69" t="s">
        <v>471</v>
      </c>
      <c r="D616" s="69" t="s">
        <v>793</v>
      </c>
      <c r="E616" s="69" t="s">
        <v>282</v>
      </c>
      <c r="F616" s="69" t="s">
        <v>51</v>
      </c>
      <c r="G616" s="84">
        <f>'прил.16'!G398</f>
        <v>43799.9</v>
      </c>
      <c r="H616" s="84">
        <f>'прил.16'!H398</f>
        <v>41609.9</v>
      </c>
      <c r="I616" s="84">
        <f>'прил.16'!I398</f>
        <v>41609.9</v>
      </c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</row>
    <row r="617" spans="1:23" s="19" customFormat="1" ht="39.75" customHeight="1">
      <c r="A617" s="131" t="s">
        <v>327</v>
      </c>
      <c r="B617" s="89"/>
      <c r="C617" s="69" t="s">
        <v>471</v>
      </c>
      <c r="D617" s="69" t="s">
        <v>793</v>
      </c>
      <c r="E617" s="69" t="s">
        <v>156</v>
      </c>
      <c r="F617" s="69"/>
      <c r="G617" s="84">
        <f>G618</f>
        <v>35902</v>
      </c>
      <c r="H617" s="84">
        <f>H618</f>
        <v>34106.9</v>
      </c>
      <c r="I617" s="84">
        <f>I618</f>
        <v>34106.9</v>
      </c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</row>
    <row r="618" spans="1:23" s="20" customFormat="1" ht="18" customHeight="1">
      <c r="A618" s="116" t="s">
        <v>541</v>
      </c>
      <c r="B618" s="89"/>
      <c r="C618" s="69" t="s">
        <v>471</v>
      </c>
      <c r="D618" s="69" t="s">
        <v>793</v>
      </c>
      <c r="E618" s="69" t="s">
        <v>156</v>
      </c>
      <c r="F618" s="69" t="s">
        <v>51</v>
      </c>
      <c r="G618" s="84">
        <f>'прил.16'!G400</f>
        <v>35902</v>
      </c>
      <c r="H618" s="84">
        <f>'прил.16'!H400</f>
        <v>34106.9</v>
      </c>
      <c r="I618" s="84">
        <f>'прил.16'!I400</f>
        <v>34106.9</v>
      </c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</row>
    <row r="619" spans="1:23" ht="19.5" customHeight="1">
      <c r="A619" s="116" t="s">
        <v>727</v>
      </c>
      <c r="B619" s="89">
        <v>810</v>
      </c>
      <c r="C619" s="69" t="s">
        <v>471</v>
      </c>
      <c r="D619" s="69" t="s">
        <v>794</v>
      </c>
      <c r="E619" s="69"/>
      <c r="F619" s="69"/>
      <c r="G619" s="84">
        <f>G620+G623+G626+G635+G638+G632</f>
        <v>29213.3</v>
      </c>
      <c r="H619" s="84">
        <f>H620+H623+H626+H635+H638+H632</f>
        <v>23971.999999999996</v>
      </c>
      <c r="I619" s="84">
        <f>I620+I623+I626+I635+I638+I632</f>
        <v>24832.399999999998</v>
      </c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</row>
    <row r="620" spans="1:23" ht="49.5" customHeight="1">
      <c r="A620" s="118" t="s">
        <v>26</v>
      </c>
      <c r="B620" s="89">
        <v>810</v>
      </c>
      <c r="C620" s="69" t="s">
        <v>471</v>
      </c>
      <c r="D620" s="69" t="s">
        <v>794</v>
      </c>
      <c r="E620" s="69" t="s">
        <v>27</v>
      </c>
      <c r="F620" s="69"/>
      <c r="G620" s="84">
        <f aca="true" t="shared" si="50" ref="G620:I621">G621</f>
        <v>24520.8</v>
      </c>
      <c r="H620" s="84">
        <f t="shared" si="50"/>
        <v>20784.399999999998</v>
      </c>
      <c r="I620" s="84">
        <f t="shared" si="50"/>
        <v>20845.899999999998</v>
      </c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</row>
    <row r="621" spans="1:23" ht="18" customHeight="1">
      <c r="A621" s="118" t="s">
        <v>560</v>
      </c>
      <c r="B621" s="89">
        <v>810</v>
      </c>
      <c r="C621" s="69" t="s">
        <v>471</v>
      </c>
      <c r="D621" s="69" t="s">
        <v>794</v>
      </c>
      <c r="E621" s="69" t="s">
        <v>29</v>
      </c>
      <c r="F621" s="69"/>
      <c r="G621" s="84">
        <f t="shared" si="50"/>
        <v>24520.8</v>
      </c>
      <c r="H621" s="84">
        <f t="shared" si="50"/>
        <v>20784.399999999998</v>
      </c>
      <c r="I621" s="84">
        <f t="shared" si="50"/>
        <v>20845.899999999998</v>
      </c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</row>
    <row r="622" spans="1:23" ht="19.5" customHeight="1">
      <c r="A622" s="118" t="s">
        <v>346</v>
      </c>
      <c r="B622" s="89">
        <v>810</v>
      </c>
      <c r="C622" s="69" t="s">
        <v>471</v>
      </c>
      <c r="D622" s="69" t="s">
        <v>794</v>
      </c>
      <c r="E622" s="69" t="s">
        <v>29</v>
      </c>
      <c r="F622" s="69" t="s">
        <v>197</v>
      </c>
      <c r="G622" s="84">
        <f>'прил.16'!G766</f>
        <v>24520.8</v>
      </c>
      <c r="H622" s="84">
        <f>'прил.16'!H766</f>
        <v>20784.399999999998</v>
      </c>
      <c r="I622" s="84">
        <f>'прил.16'!I766</f>
        <v>20845.899999999998</v>
      </c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</row>
    <row r="623" spans="1:23" ht="50.25" customHeight="1">
      <c r="A623" s="118" t="s">
        <v>652</v>
      </c>
      <c r="B623" s="89">
        <v>810</v>
      </c>
      <c r="C623" s="69" t="s">
        <v>471</v>
      </c>
      <c r="D623" s="69" t="s">
        <v>794</v>
      </c>
      <c r="E623" s="69" t="s">
        <v>532</v>
      </c>
      <c r="F623" s="69"/>
      <c r="G623" s="84">
        <f aca="true" t="shared" si="51" ref="G623:I624">G624</f>
        <v>862.3</v>
      </c>
      <c r="H623" s="84">
        <f t="shared" si="51"/>
        <v>871.8</v>
      </c>
      <c r="I623" s="84">
        <f t="shared" si="51"/>
        <v>881.9</v>
      </c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</row>
    <row r="624" spans="1:23" ht="18" customHeight="1">
      <c r="A624" s="116" t="s">
        <v>540</v>
      </c>
      <c r="B624" s="89">
        <v>810</v>
      </c>
      <c r="C624" s="69" t="s">
        <v>471</v>
      </c>
      <c r="D624" s="69" t="s">
        <v>794</v>
      </c>
      <c r="E624" s="69" t="s">
        <v>533</v>
      </c>
      <c r="F624" s="69"/>
      <c r="G624" s="84">
        <f t="shared" si="51"/>
        <v>862.3</v>
      </c>
      <c r="H624" s="84">
        <f t="shared" si="51"/>
        <v>871.8</v>
      </c>
      <c r="I624" s="84">
        <f t="shared" si="51"/>
        <v>881.9</v>
      </c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</row>
    <row r="625" spans="1:23" ht="16.5">
      <c r="A625" s="118" t="s">
        <v>836</v>
      </c>
      <c r="B625" s="89">
        <v>810</v>
      </c>
      <c r="C625" s="69" t="s">
        <v>471</v>
      </c>
      <c r="D625" s="69" t="s">
        <v>794</v>
      </c>
      <c r="E625" s="69" t="s">
        <v>533</v>
      </c>
      <c r="F625" s="69" t="s">
        <v>545</v>
      </c>
      <c r="G625" s="84">
        <f>'прил.16'!G769</f>
        <v>862.3</v>
      </c>
      <c r="H625" s="84">
        <f>'прил.16'!H769</f>
        <v>871.8</v>
      </c>
      <c r="I625" s="84">
        <f>'прил.16'!I769</f>
        <v>881.9</v>
      </c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</row>
    <row r="626" spans="1:23" ht="18" customHeight="1" hidden="1">
      <c r="A626" s="116" t="s">
        <v>79</v>
      </c>
      <c r="B626" s="89">
        <v>810</v>
      </c>
      <c r="C626" s="69" t="s">
        <v>471</v>
      </c>
      <c r="D626" s="69" t="s">
        <v>794</v>
      </c>
      <c r="E626" s="69" t="s">
        <v>378</v>
      </c>
      <c r="F626" s="69"/>
      <c r="G626" s="84">
        <f>G627+G629</f>
        <v>0</v>
      </c>
      <c r="H626" s="84">
        <f>H627+H629</f>
        <v>0</v>
      </c>
      <c r="I626" s="84">
        <f>I627+I629</f>
        <v>0</v>
      </c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</row>
    <row r="627" spans="1:23" ht="35.25" customHeight="1" hidden="1">
      <c r="A627" s="119" t="s">
        <v>211</v>
      </c>
      <c r="B627" s="89"/>
      <c r="C627" s="69" t="s">
        <v>471</v>
      </c>
      <c r="D627" s="69" t="s">
        <v>794</v>
      </c>
      <c r="E627" s="69" t="s">
        <v>80</v>
      </c>
      <c r="F627" s="69"/>
      <c r="G627" s="84">
        <f>G628</f>
        <v>0</v>
      </c>
      <c r="H627" s="84">
        <f>H628</f>
        <v>0</v>
      </c>
      <c r="I627" s="84">
        <f>I628</f>
        <v>0</v>
      </c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</row>
    <row r="628" spans="1:23" ht="18" customHeight="1" hidden="1">
      <c r="A628" s="118" t="s">
        <v>363</v>
      </c>
      <c r="B628" s="89"/>
      <c r="C628" s="69" t="s">
        <v>471</v>
      </c>
      <c r="D628" s="69" t="s">
        <v>794</v>
      </c>
      <c r="E628" s="69" t="s">
        <v>80</v>
      </c>
      <c r="F628" s="69" t="s">
        <v>195</v>
      </c>
      <c r="G628" s="84">
        <f>'прил.16'!G772</f>
        <v>0</v>
      </c>
      <c r="H628" s="84">
        <f>'прил.16'!H772</f>
        <v>0</v>
      </c>
      <c r="I628" s="84">
        <f>'прил.16'!I772</f>
        <v>0</v>
      </c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</row>
    <row r="629" spans="1:23" ht="33" customHeight="1" hidden="1">
      <c r="A629" s="119" t="s">
        <v>99</v>
      </c>
      <c r="B629" s="89">
        <v>810</v>
      </c>
      <c r="C629" s="69" t="s">
        <v>471</v>
      </c>
      <c r="D629" s="69" t="s">
        <v>794</v>
      </c>
      <c r="E629" s="69" t="s">
        <v>274</v>
      </c>
      <c r="F629" s="69"/>
      <c r="G629" s="84">
        <f>SUM(G630:G631)</f>
        <v>0</v>
      </c>
      <c r="H629" s="84">
        <f>SUM(H630:H631)</f>
        <v>0</v>
      </c>
      <c r="I629" s="84">
        <f>SUM(I630:I631)</f>
        <v>0</v>
      </c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</row>
    <row r="630" spans="1:23" ht="18" customHeight="1" hidden="1">
      <c r="A630" s="118" t="s">
        <v>836</v>
      </c>
      <c r="B630" s="89"/>
      <c r="C630" s="69" t="s">
        <v>471</v>
      </c>
      <c r="D630" s="69" t="s">
        <v>794</v>
      </c>
      <c r="E630" s="69" t="s">
        <v>274</v>
      </c>
      <c r="F630" s="69" t="s">
        <v>545</v>
      </c>
      <c r="G630" s="84">
        <f>'прил.16'!G775</f>
        <v>0</v>
      </c>
      <c r="H630" s="84">
        <f>'прил.16'!H775</f>
        <v>0</v>
      </c>
      <c r="I630" s="84">
        <f>'прил.16'!I775</f>
        <v>0</v>
      </c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</row>
    <row r="631" spans="1:23" ht="20.25" customHeight="1" hidden="1">
      <c r="A631" s="118" t="s">
        <v>363</v>
      </c>
      <c r="B631" s="89">
        <v>810</v>
      </c>
      <c r="C631" s="69" t="s">
        <v>471</v>
      </c>
      <c r="D631" s="69" t="s">
        <v>794</v>
      </c>
      <c r="E631" s="69" t="s">
        <v>274</v>
      </c>
      <c r="F631" s="69" t="s">
        <v>195</v>
      </c>
      <c r="G631" s="84">
        <f>'прил.16'!G776</f>
        <v>0</v>
      </c>
      <c r="H631" s="84">
        <f>'прил.16'!H776</f>
        <v>0</v>
      </c>
      <c r="I631" s="84">
        <f>'прил.16'!I776</f>
        <v>0</v>
      </c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</row>
    <row r="632" spans="1:23" ht="21" customHeight="1">
      <c r="A632" s="120" t="s">
        <v>380</v>
      </c>
      <c r="B632" s="89"/>
      <c r="C632" s="69" t="s">
        <v>471</v>
      </c>
      <c r="D632" s="69" t="s">
        <v>794</v>
      </c>
      <c r="E632" s="69" t="s">
        <v>381</v>
      </c>
      <c r="F632" s="69"/>
      <c r="G632" s="84">
        <f aca="true" t="shared" si="52" ref="G632:I633">G633</f>
        <v>200</v>
      </c>
      <c r="H632" s="84">
        <f t="shared" si="52"/>
        <v>0</v>
      </c>
      <c r="I632" s="84">
        <f t="shared" si="52"/>
        <v>550</v>
      </c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</row>
    <row r="633" spans="1:23" ht="34.5" customHeight="1">
      <c r="A633" s="124" t="s">
        <v>313</v>
      </c>
      <c r="B633" s="89"/>
      <c r="C633" s="69" t="s">
        <v>471</v>
      </c>
      <c r="D633" s="69" t="s">
        <v>794</v>
      </c>
      <c r="E633" s="69" t="s">
        <v>433</v>
      </c>
      <c r="F633" s="69"/>
      <c r="G633" s="84">
        <f t="shared" si="52"/>
        <v>200</v>
      </c>
      <c r="H633" s="84">
        <f t="shared" si="52"/>
        <v>0</v>
      </c>
      <c r="I633" s="84">
        <f t="shared" si="52"/>
        <v>550</v>
      </c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</row>
    <row r="634" spans="1:23" ht="21" customHeight="1">
      <c r="A634" s="120" t="s">
        <v>503</v>
      </c>
      <c r="B634" s="89"/>
      <c r="C634" s="69" t="s">
        <v>471</v>
      </c>
      <c r="D634" s="69" t="s">
        <v>794</v>
      </c>
      <c r="E634" s="69" t="s">
        <v>433</v>
      </c>
      <c r="F634" s="69" t="s">
        <v>39</v>
      </c>
      <c r="G634" s="84">
        <f>'прил.16'!G249</f>
        <v>200</v>
      </c>
      <c r="H634" s="84">
        <f>'прил.16'!H249</f>
        <v>0</v>
      </c>
      <c r="I634" s="84">
        <f>'прил.16'!I249</f>
        <v>550</v>
      </c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</row>
    <row r="635" spans="1:23" ht="21" customHeight="1">
      <c r="A635" s="116" t="s">
        <v>609</v>
      </c>
      <c r="B635" s="89"/>
      <c r="C635" s="69" t="s">
        <v>471</v>
      </c>
      <c r="D635" s="69" t="s">
        <v>794</v>
      </c>
      <c r="E635" s="69" t="s">
        <v>15</v>
      </c>
      <c r="F635" s="69"/>
      <c r="G635" s="84">
        <f aca="true" t="shared" si="53" ref="G635:I636">G636</f>
        <v>1300.2</v>
      </c>
      <c r="H635" s="84">
        <f t="shared" si="53"/>
        <v>1234.6</v>
      </c>
      <c r="I635" s="84">
        <f t="shared" si="53"/>
        <v>1234.6</v>
      </c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</row>
    <row r="636" spans="1:23" ht="49.5" customHeight="1">
      <c r="A636" s="124" t="s">
        <v>578</v>
      </c>
      <c r="B636" s="89"/>
      <c r="C636" s="69" t="s">
        <v>471</v>
      </c>
      <c r="D636" s="69" t="s">
        <v>794</v>
      </c>
      <c r="E636" s="69" t="s">
        <v>337</v>
      </c>
      <c r="F636" s="69"/>
      <c r="G636" s="84">
        <f t="shared" si="53"/>
        <v>1300.2</v>
      </c>
      <c r="H636" s="84">
        <f t="shared" si="53"/>
        <v>1234.6</v>
      </c>
      <c r="I636" s="84">
        <f t="shared" si="53"/>
        <v>1234.6</v>
      </c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</row>
    <row r="637" spans="1:23" ht="21" customHeight="1">
      <c r="A637" s="118" t="s">
        <v>363</v>
      </c>
      <c r="B637" s="89"/>
      <c r="C637" s="69" t="s">
        <v>471</v>
      </c>
      <c r="D637" s="69" t="s">
        <v>794</v>
      </c>
      <c r="E637" s="69" t="s">
        <v>337</v>
      </c>
      <c r="F637" s="69" t="s">
        <v>195</v>
      </c>
      <c r="G637" s="84">
        <f>'прил.16'!G779</f>
        <v>1300.2</v>
      </c>
      <c r="H637" s="84">
        <f>'прил.16'!H779</f>
        <v>1234.6</v>
      </c>
      <c r="I637" s="84">
        <f>'прил.16'!I779</f>
        <v>1234.6</v>
      </c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</row>
    <row r="638" spans="1:23" ht="19.5" customHeight="1">
      <c r="A638" s="116" t="s">
        <v>349</v>
      </c>
      <c r="B638" s="89">
        <v>810</v>
      </c>
      <c r="C638" s="69" t="s">
        <v>471</v>
      </c>
      <c r="D638" s="69" t="s">
        <v>794</v>
      </c>
      <c r="E638" s="81" t="s">
        <v>343</v>
      </c>
      <c r="F638" s="81"/>
      <c r="G638" s="84">
        <f>G640+G642</f>
        <v>2330</v>
      </c>
      <c r="H638" s="84">
        <f>H640+H642</f>
        <v>1081.2</v>
      </c>
      <c r="I638" s="84">
        <f>I640+I642</f>
        <v>1320</v>
      </c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</row>
    <row r="639" spans="1:23" ht="19.5" customHeight="1">
      <c r="A639" s="116" t="s">
        <v>380</v>
      </c>
      <c r="B639" s="89"/>
      <c r="C639" s="69" t="s">
        <v>471</v>
      </c>
      <c r="D639" s="69" t="s">
        <v>794</v>
      </c>
      <c r="E639" s="69" t="s">
        <v>344</v>
      </c>
      <c r="F639" s="81"/>
      <c r="G639" s="84">
        <f>G641+G644</f>
        <v>1338</v>
      </c>
      <c r="H639" s="84">
        <f>H641+H644</f>
        <v>101.2</v>
      </c>
      <c r="I639" s="84">
        <f>I641+I644</f>
        <v>320</v>
      </c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</row>
    <row r="640" spans="1:23" ht="17.25" customHeight="1">
      <c r="A640" s="116" t="s">
        <v>728</v>
      </c>
      <c r="B640" s="89">
        <v>810</v>
      </c>
      <c r="C640" s="69" t="s">
        <v>471</v>
      </c>
      <c r="D640" s="69" t="s">
        <v>794</v>
      </c>
      <c r="E640" s="69" t="s">
        <v>354</v>
      </c>
      <c r="F640" s="69"/>
      <c r="G640" s="84">
        <f>G641</f>
        <v>300</v>
      </c>
      <c r="H640" s="84">
        <f>H641</f>
        <v>0</v>
      </c>
      <c r="I640" s="84">
        <f>I641</f>
        <v>320</v>
      </c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</row>
    <row r="641" spans="1:23" ht="18.75" customHeight="1">
      <c r="A641" s="118" t="s">
        <v>503</v>
      </c>
      <c r="B641" s="89">
        <v>810</v>
      </c>
      <c r="C641" s="69" t="s">
        <v>471</v>
      </c>
      <c r="D641" s="69" t="s">
        <v>794</v>
      </c>
      <c r="E641" s="69" t="s">
        <v>354</v>
      </c>
      <c r="F641" s="69" t="s">
        <v>39</v>
      </c>
      <c r="G641" s="84">
        <f>'прил.16'!G783</f>
        <v>300</v>
      </c>
      <c r="H641" s="84">
        <f>'прил.16'!H783</f>
        <v>0</v>
      </c>
      <c r="I641" s="84">
        <f>'прил.16'!I783</f>
        <v>320</v>
      </c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</row>
    <row r="642" spans="1:23" ht="18.75" customHeight="1">
      <c r="A642" s="120" t="s">
        <v>729</v>
      </c>
      <c r="B642" s="89"/>
      <c r="C642" s="69" t="s">
        <v>471</v>
      </c>
      <c r="D642" s="69" t="s">
        <v>794</v>
      </c>
      <c r="E642" s="69" t="s">
        <v>353</v>
      </c>
      <c r="F642" s="69"/>
      <c r="G642" s="84">
        <f>G643+G644</f>
        <v>2030</v>
      </c>
      <c r="H642" s="84">
        <f>H643+H644</f>
        <v>1081.2</v>
      </c>
      <c r="I642" s="84">
        <f>I643+I644</f>
        <v>1000</v>
      </c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</row>
    <row r="643" spans="1:23" ht="18" customHeight="1">
      <c r="A643" s="119" t="s">
        <v>625</v>
      </c>
      <c r="B643" s="89"/>
      <c r="C643" s="69" t="s">
        <v>471</v>
      </c>
      <c r="D643" s="69" t="s">
        <v>794</v>
      </c>
      <c r="E643" s="69" t="s">
        <v>353</v>
      </c>
      <c r="F643" s="69" t="s">
        <v>238</v>
      </c>
      <c r="G643" s="84">
        <f>'прил.16'!G677</f>
        <v>992</v>
      </c>
      <c r="H643" s="84">
        <f>'прил.16'!H677</f>
        <v>980</v>
      </c>
      <c r="I643" s="84">
        <f>'прил.16'!I677</f>
        <v>1000</v>
      </c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</row>
    <row r="644" spans="1:23" ht="18.75" customHeight="1">
      <c r="A644" s="118" t="s">
        <v>415</v>
      </c>
      <c r="B644" s="89"/>
      <c r="C644" s="69" t="s">
        <v>471</v>
      </c>
      <c r="D644" s="69" t="s">
        <v>794</v>
      </c>
      <c r="E644" s="69" t="s">
        <v>353</v>
      </c>
      <c r="F644" s="69" t="s">
        <v>39</v>
      </c>
      <c r="G644" s="84">
        <f>'прил.16'!G405+'прил.16'!G638+'прил.16'!G253</f>
        <v>1038</v>
      </c>
      <c r="H644" s="84">
        <f>'прил.16'!H405+'прил.16'!H638+'прил.16'!H253</f>
        <v>101.2</v>
      </c>
      <c r="I644" s="84">
        <f>'прил.16'!I405+'прил.16'!I638+'прил.16'!I253</f>
        <v>0</v>
      </c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</row>
    <row r="645" spans="1:23" ht="18.75" customHeight="1">
      <c r="A645" s="119" t="s">
        <v>490</v>
      </c>
      <c r="B645" s="12">
        <v>809</v>
      </c>
      <c r="C645" s="81" t="s">
        <v>45</v>
      </c>
      <c r="D645" s="81"/>
      <c r="E645" s="81"/>
      <c r="F645" s="81"/>
      <c r="G645" s="84">
        <f>G646+G664+G656+G659</f>
        <v>286181.5</v>
      </c>
      <c r="H645" s="84">
        <f>H646+H664+H656+H659</f>
        <v>277429.80000000005</v>
      </c>
      <c r="I645" s="84">
        <f>I646+I664+I656+I659</f>
        <v>283773</v>
      </c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</row>
    <row r="646" spans="1:23" ht="18.75" customHeight="1">
      <c r="A646" s="116" t="s">
        <v>730</v>
      </c>
      <c r="B646" s="12"/>
      <c r="C646" s="81" t="s">
        <v>45</v>
      </c>
      <c r="D646" s="81" t="s">
        <v>790</v>
      </c>
      <c r="E646" s="81"/>
      <c r="F646" s="81"/>
      <c r="G646" s="84">
        <f>G647</f>
        <v>178616.2</v>
      </c>
      <c r="H646" s="84">
        <f>H647</f>
        <v>171434.1</v>
      </c>
      <c r="I646" s="84">
        <f>I647</f>
        <v>177769.5</v>
      </c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</row>
    <row r="647" spans="1:23" ht="18.75" customHeight="1">
      <c r="A647" s="116" t="s">
        <v>731</v>
      </c>
      <c r="B647" s="12">
        <v>809</v>
      </c>
      <c r="C647" s="81" t="s">
        <v>45</v>
      </c>
      <c r="D647" s="81" t="s">
        <v>790</v>
      </c>
      <c r="E647" s="81" t="s">
        <v>166</v>
      </c>
      <c r="F647" s="81"/>
      <c r="G647" s="84">
        <f>G648+G650</f>
        <v>178616.2</v>
      </c>
      <c r="H647" s="84">
        <f>H648+H650</f>
        <v>171434.1</v>
      </c>
      <c r="I647" s="84">
        <f>I648+I650</f>
        <v>177769.5</v>
      </c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</row>
    <row r="648" spans="1:23" ht="34.5" customHeight="1">
      <c r="A648" s="118" t="s">
        <v>732</v>
      </c>
      <c r="B648" s="12">
        <v>809</v>
      </c>
      <c r="C648" s="81" t="s">
        <v>45</v>
      </c>
      <c r="D648" s="81" t="s">
        <v>790</v>
      </c>
      <c r="E648" s="81" t="s">
        <v>167</v>
      </c>
      <c r="F648" s="81"/>
      <c r="G648" s="84">
        <f>G649</f>
        <v>164698</v>
      </c>
      <c r="H648" s="84">
        <f>H649</f>
        <v>169868.2</v>
      </c>
      <c r="I648" s="84">
        <f>I649</f>
        <v>175589.9</v>
      </c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</row>
    <row r="649" spans="1:23" ht="18.75" customHeight="1">
      <c r="A649" s="118" t="s">
        <v>140</v>
      </c>
      <c r="B649" s="12">
        <v>809</v>
      </c>
      <c r="C649" s="81" t="s">
        <v>45</v>
      </c>
      <c r="D649" s="81" t="s">
        <v>790</v>
      </c>
      <c r="E649" s="81" t="s">
        <v>167</v>
      </c>
      <c r="F649" s="81" t="s">
        <v>545</v>
      </c>
      <c r="G649" s="84">
        <f>'прил.16'!G682</f>
        <v>164698</v>
      </c>
      <c r="H649" s="84">
        <f>'прил.16'!H682</f>
        <v>169868.2</v>
      </c>
      <c r="I649" s="84">
        <f>'прил.16'!I682</f>
        <v>175589.9</v>
      </c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</row>
    <row r="650" spans="1:23" ht="18.75" customHeight="1">
      <c r="A650" s="116" t="s">
        <v>733</v>
      </c>
      <c r="B650" s="12">
        <v>809</v>
      </c>
      <c r="C650" s="81" t="s">
        <v>45</v>
      </c>
      <c r="D650" s="81" t="s">
        <v>790</v>
      </c>
      <c r="E650" s="81" t="s">
        <v>343</v>
      </c>
      <c r="F650" s="81"/>
      <c r="G650" s="84">
        <f>G651+G653</f>
        <v>13918.199999999999</v>
      </c>
      <c r="H650" s="84">
        <f>H651+H653</f>
        <v>1565.9</v>
      </c>
      <c r="I650" s="84">
        <f>I651+I653</f>
        <v>2179.6</v>
      </c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</row>
    <row r="651" spans="1:23" ht="18.75" customHeight="1">
      <c r="A651" s="116" t="s">
        <v>199</v>
      </c>
      <c r="B651" s="89">
        <v>809</v>
      </c>
      <c r="C651" s="69" t="s">
        <v>45</v>
      </c>
      <c r="D651" s="69" t="s">
        <v>790</v>
      </c>
      <c r="E651" s="69" t="s">
        <v>354</v>
      </c>
      <c r="F651" s="69"/>
      <c r="G651" s="84">
        <f>G652</f>
        <v>1045.3</v>
      </c>
      <c r="H651" s="84">
        <f>H652</f>
        <v>1565.9</v>
      </c>
      <c r="I651" s="84">
        <f>I652</f>
        <v>2179.6</v>
      </c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</row>
    <row r="652" spans="1:23" ht="33.75" customHeight="1">
      <c r="A652" s="118" t="s">
        <v>734</v>
      </c>
      <c r="B652" s="89">
        <v>809</v>
      </c>
      <c r="C652" s="69" t="s">
        <v>45</v>
      </c>
      <c r="D652" s="69" t="s">
        <v>790</v>
      </c>
      <c r="E652" s="69" t="s">
        <v>354</v>
      </c>
      <c r="F652" s="69" t="s">
        <v>257</v>
      </c>
      <c r="G652" s="84">
        <f>'прил.16'!G690</f>
        <v>1045.3</v>
      </c>
      <c r="H652" s="84">
        <f>'прил.16'!H690</f>
        <v>1565.9</v>
      </c>
      <c r="I652" s="84">
        <f>'прил.16'!I690</f>
        <v>2179.6</v>
      </c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</row>
    <row r="653" spans="1:23" ht="18.75" customHeight="1" hidden="1">
      <c r="A653" s="116" t="s">
        <v>735</v>
      </c>
      <c r="B653" s="89">
        <v>809</v>
      </c>
      <c r="C653" s="69" t="s">
        <v>45</v>
      </c>
      <c r="D653" s="69" t="s">
        <v>790</v>
      </c>
      <c r="E653" s="69" t="s">
        <v>348</v>
      </c>
      <c r="F653" s="69"/>
      <c r="G653" s="84">
        <f>SUM(G654:G655)</f>
        <v>12872.9</v>
      </c>
      <c r="H653" s="84">
        <f>SUM(H654:H655)</f>
        <v>0</v>
      </c>
      <c r="I653" s="84">
        <f>SUM(I654:I655)</f>
        <v>0</v>
      </c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</row>
    <row r="654" spans="1:23" ht="18.75" customHeight="1" hidden="1">
      <c r="A654" s="119" t="s">
        <v>767</v>
      </c>
      <c r="B654" s="89"/>
      <c r="C654" s="69" t="s">
        <v>45</v>
      </c>
      <c r="D654" s="69" t="s">
        <v>790</v>
      </c>
      <c r="E654" s="69" t="s">
        <v>348</v>
      </c>
      <c r="F654" s="69" t="s">
        <v>238</v>
      </c>
      <c r="G654" s="84">
        <f>'прил.16'!G692</f>
        <v>5500</v>
      </c>
      <c r="H654" s="84">
        <f>'прил.16'!H692</f>
        <v>0</v>
      </c>
      <c r="I654" s="84">
        <f>'прил.16'!I692</f>
        <v>0</v>
      </c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</row>
    <row r="655" spans="1:23" ht="18.75" customHeight="1" hidden="1">
      <c r="A655" s="118" t="s">
        <v>581</v>
      </c>
      <c r="B655" s="89">
        <v>809</v>
      </c>
      <c r="C655" s="69" t="s">
        <v>45</v>
      </c>
      <c r="D655" s="69" t="s">
        <v>790</v>
      </c>
      <c r="E655" s="69" t="s">
        <v>348</v>
      </c>
      <c r="F655" s="69" t="s">
        <v>257</v>
      </c>
      <c r="G655" s="84">
        <f>'прил.16'!G693</f>
        <v>7372.9</v>
      </c>
      <c r="H655" s="84">
        <f>'прил.16'!H693</f>
        <v>0</v>
      </c>
      <c r="I655" s="84">
        <f>'прил.16'!I693</f>
        <v>0</v>
      </c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</row>
    <row r="656" spans="1:23" ht="18.75" customHeight="1" hidden="1">
      <c r="A656" s="119" t="s">
        <v>736</v>
      </c>
      <c r="B656" s="89"/>
      <c r="C656" s="69" t="s">
        <v>45</v>
      </c>
      <c r="D656" s="69" t="s">
        <v>791</v>
      </c>
      <c r="E656" s="69"/>
      <c r="F656" s="69"/>
      <c r="G656" s="84">
        <f aca="true" t="shared" si="54" ref="G656:I657">G657</f>
        <v>820</v>
      </c>
      <c r="H656" s="84">
        <f t="shared" si="54"/>
        <v>0</v>
      </c>
      <c r="I656" s="84">
        <f t="shared" si="54"/>
        <v>0</v>
      </c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</row>
    <row r="657" spans="1:23" ht="18.75" customHeight="1" hidden="1">
      <c r="A657" s="118" t="s">
        <v>732</v>
      </c>
      <c r="B657" s="89"/>
      <c r="C657" s="69" t="s">
        <v>45</v>
      </c>
      <c r="D657" s="69" t="s">
        <v>791</v>
      </c>
      <c r="E657" s="81" t="s">
        <v>167</v>
      </c>
      <c r="F657" s="69"/>
      <c r="G657" s="84">
        <f t="shared" si="54"/>
        <v>820</v>
      </c>
      <c r="H657" s="84">
        <f t="shared" si="54"/>
        <v>0</v>
      </c>
      <c r="I657" s="84">
        <f t="shared" si="54"/>
        <v>0</v>
      </c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</row>
    <row r="658" spans="1:23" ht="18.75" customHeight="1" hidden="1">
      <c r="A658" s="118" t="s">
        <v>581</v>
      </c>
      <c r="B658" s="89"/>
      <c r="C658" s="69" t="s">
        <v>45</v>
      </c>
      <c r="D658" s="69" t="s">
        <v>791</v>
      </c>
      <c r="E658" s="81" t="s">
        <v>167</v>
      </c>
      <c r="F658" s="69" t="s">
        <v>257</v>
      </c>
      <c r="G658" s="84">
        <f>'прил.16'!G696</f>
        <v>820</v>
      </c>
      <c r="H658" s="84">
        <f>'прил.16'!H696</f>
        <v>0</v>
      </c>
      <c r="I658" s="84">
        <f>'прил.16'!I696</f>
        <v>0</v>
      </c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</row>
    <row r="659" spans="1:23" ht="18.75" customHeight="1">
      <c r="A659" s="119" t="s">
        <v>737</v>
      </c>
      <c r="B659" s="89"/>
      <c r="C659" s="69" t="s">
        <v>45</v>
      </c>
      <c r="D659" s="69" t="s">
        <v>792</v>
      </c>
      <c r="E659" s="81"/>
      <c r="F659" s="69"/>
      <c r="G659" s="84">
        <f>G662</f>
        <v>100000</v>
      </c>
      <c r="H659" s="84">
        <f>H662</f>
        <v>100000</v>
      </c>
      <c r="I659" s="84">
        <f>I662</f>
        <v>100000</v>
      </c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</row>
    <row r="660" spans="1:23" ht="32.25" customHeight="1">
      <c r="A660" s="119" t="s">
        <v>738</v>
      </c>
      <c r="B660" s="89"/>
      <c r="C660" s="69" t="s">
        <v>45</v>
      </c>
      <c r="D660" s="69" t="s">
        <v>792</v>
      </c>
      <c r="E660" s="81" t="s">
        <v>331</v>
      </c>
      <c r="F660" s="69"/>
      <c r="G660" s="84">
        <f aca="true" t="shared" si="55" ref="G660:I662">G661</f>
        <v>100000</v>
      </c>
      <c r="H660" s="84">
        <f t="shared" si="55"/>
        <v>100000</v>
      </c>
      <c r="I660" s="84">
        <f t="shared" si="55"/>
        <v>100000</v>
      </c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</row>
    <row r="661" spans="1:23" ht="18.75" customHeight="1">
      <c r="A661" s="119" t="s">
        <v>739</v>
      </c>
      <c r="B661" s="89"/>
      <c r="C661" s="69" t="s">
        <v>45</v>
      </c>
      <c r="D661" s="69" t="s">
        <v>792</v>
      </c>
      <c r="E661" s="81" t="s">
        <v>428</v>
      </c>
      <c r="F661" s="69"/>
      <c r="G661" s="84">
        <f t="shared" si="55"/>
        <v>100000</v>
      </c>
      <c r="H661" s="84">
        <f t="shared" si="55"/>
        <v>100000</v>
      </c>
      <c r="I661" s="84">
        <f t="shared" si="55"/>
        <v>100000</v>
      </c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</row>
    <row r="662" spans="1:23" ht="18.75" customHeight="1">
      <c r="A662" s="124" t="s">
        <v>819</v>
      </c>
      <c r="B662" s="89"/>
      <c r="C662" s="69" t="s">
        <v>45</v>
      </c>
      <c r="D662" s="69" t="s">
        <v>792</v>
      </c>
      <c r="E662" s="81" t="s">
        <v>429</v>
      </c>
      <c r="F662" s="69"/>
      <c r="G662" s="84">
        <f t="shared" si="55"/>
        <v>100000</v>
      </c>
      <c r="H662" s="84">
        <f t="shared" si="55"/>
        <v>100000</v>
      </c>
      <c r="I662" s="84">
        <f t="shared" si="55"/>
        <v>100000</v>
      </c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</row>
    <row r="663" spans="1:23" ht="18.75" customHeight="1">
      <c r="A663" s="119" t="s">
        <v>625</v>
      </c>
      <c r="B663" s="89"/>
      <c r="C663" s="69" t="s">
        <v>45</v>
      </c>
      <c r="D663" s="69" t="s">
        <v>792</v>
      </c>
      <c r="E663" s="81" t="s">
        <v>429</v>
      </c>
      <c r="F663" s="69" t="s">
        <v>238</v>
      </c>
      <c r="G663" s="84">
        <f>'прил.16'!G701</f>
        <v>100000</v>
      </c>
      <c r="H663" s="84">
        <f>'прил.16'!H701</f>
        <v>100000</v>
      </c>
      <c r="I663" s="84">
        <f>'прил.16'!I701</f>
        <v>100000</v>
      </c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</row>
    <row r="664" spans="1:23" ht="18.75" customHeight="1">
      <c r="A664" s="118" t="s">
        <v>740</v>
      </c>
      <c r="B664" s="89"/>
      <c r="C664" s="69" t="s">
        <v>45</v>
      </c>
      <c r="D664" s="69" t="s">
        <v>42</v>
      </c>
      <c r="E664" s="69"/>
      <c r="F664" s="69"/>
      <c r="G664" s="84">
        <f>G665+G668</f>
        <v>6745.3</v>
      </c>
      <c r="H664" s="84">
        <f>H665+H668</f>
        <v>5995.700000000001</v>
      </c>
      <c r="I664" s="84">
        <f>I665+I668</f>
        <v>6003.5</v>
      </c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</row>
    <row r="665" spans="1:23" ht="55.5" customHeight="1">
      <c r="A665" s="118" t="s">
        <v>26</v>
      </c>
      <c r="B665" s="89">
        <v>806</v>
      </c>
      <c r="C665" s="69" t="s">
        <v>45</v>
      </c>
      <c r="D665" s="69" t="s">
        <v>42</v>
      </c>
      <c r="E665" s="69" t="s">
        <v>27</v>
      </c>
      <c r="F665" s="69"/>
      <c r="G665" s="84">
        <f aca="true" t="shared" si="56" ref="G665:I666">G666</f>
        <v>2838.5</v>
      </c>
      <c r="H665" s="84">
        <f t="shared" si="56"/>
        <v>2833.9</v>
      </c>
      <c r="I665" s="84">
        <f t="shared" si="56"/>
        <v>2834.2</v>
      </c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</row>
    <row r="666" spans="1:23" ht="18.75" customHeight="1">
      <c r="A666" s="118" t="s">
        <v>560</v>
      </c>
      <c r="B666" s="89">
        <v>806</v>
      </c>
      <c r="C666" s="69" t="s">
        <v>45</v>
      </c>
      <c r="D666" s="69" t="s">
        <v>42</v>
      </c>
      <c r="E666" s="69" t="s">
        <v>29</v>
      </c>
      <c r="F666" s="69"/>
      <c r="G666" s="84">
        <f t="shared" si="56"/>
        <v>2838.5</v>
      </c>
      <c r="H666" s="84">
        <f t="shared" si="56"/>
        <v>2833.9</v>
      </c>
      <c r="I666" s="84">
        <f t="shared" si="56"/>
        <v>2834.2</v>
      </c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</row>
    <row r="667" spans="1:23" ht="18.75" customHeight="1">
      <c r="A667" s="118" t="s">
        <v>346</v>
      </c>
      <c r="B667" s="89">
        <v>806</v>
      </c>
      <c r="C667" s="69" t="s">
        <v>45</v>
      </c>
      <c r="D667" s="69" t="s">
        <v>42</v>
      </c>
      <c r="E667" s="69" t="s">
        <v>29</v>
      </c>
      <c r="F667" s="69" t="s">
        <v>197</v>
      </c>
      <c r="G667" s="84">
        <f>'прил.16'!G705</f>
        <v>2838.5</v>
      </c>
      <c r="H667" s="84">
        <f>'прил.16'!H705</f>
        <v>2833.9</v>
      </c>
      <c r="I667" s="84">
        <f>'прил.16'!I705</f>
        <v>2834.2</v>
      </c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</row>
    <row r="668" spans="1:23" ht="52.5" customHeight="1">
      <c r="A668" s="118" t="s">
        <v>652</v>
      </c>
      <c r="B668" s="89"/>
      <c r="C668" s="69" t="s">
        <v>45</v>
      </c>
      <c r="D668" s="69" t="s">
        <v>42</v>
      </c>
      <c r="E668" s="69" t="s">
        <v>532</v>
      </c>
      <c r="F668" s="69"/>
      <c r="G668" s="84">
        <f>G669+G671</f>
        <v>3906.8</v>
      </c>
      <c r="H668" s="84">
        <f>H669+H671</f>
        <v>3161.8</v>
      </c>
      <c r="I668" s="84">
        <f>I669+I671</f>
        <v>3169.3</v>
      </c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</row>
    <row r="669" spans="1:23" ht="18.75" customHeight="1" hidden="1">
      <c r="A669" s="116" t="s">
        <v>475</v>
      </c>
      <c r="B669" s="89"/>
      <c r="C669" s="69" t="s">
        <v>45</v>
      </c>
      <c r="D669" s="69" t="s">
        <v>42</v>
      </c>
      <c r="E669" s="69" t="s">
        <v>479</v>
      </c>
      <c r="F669" s="69"/>
      <c r="G669" s="84">
        <f>G670</f>
        <v>0</v>
      </c>
      <c r="H669" s="84">
        <f>H670</f>
        <v>0</v>
      </c>
      <c r="I669" s="84">
        <f>I670</f>
        <v>0</v>
      </c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</row>
    <row r="670" spans="1:23" ht="18.75" customHeight="1" hidden="1">
      <c r="A670" s="118" t="s">
        <v>836</v>
      </c>
      <c r="B670" s="89"/>
      <c r="C670" s="69" t="s">
        <v>45</v>
      </c>
      <c r="D670" s="69" t="s">
        <v>42</v>
      </c>
      <c r="E670" s="69" t="s">
        <v>479</v>
      </c>
      <c r="F670" s="69" t="s">
        <v>545</v>
      </c>
      <c r="G670" s="84">
        <f>'прил.16'!G708</f>
        <v>0</v>
      </c>
      <c r="H670" s="84">
        <f>'прил.16'!H708</f>
        <v>0</v>
      </c>
      <c r="I670" s="84">
        <f>'прил.16'!I708</f>
        <v>0</v>
      </c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</row>
    <row r="671" spans="1:23" ht="18.75" customHeight="1">
      <c r="A671" s="116" t="s">
        <v>540</v>
      </c>
      <c r="B671" s="89"/>
      <c r="C671" s="69" t="s">
        <v>45</v>
      </c>
      <c r="D671" s="69" t="s">
        <v>42</v>
      </c>
      <c r="E671" s="69" t="s">
        <v>533</v>
      </c>
      <c r="F671" s="69"/>
      <c r="G671" s="84">
        <f>G672</f>
        <v>3906.8</v>
      </c>
      <c r="H671" s="84">
        <f>H672</f>
        <v>3161.8</v>
      </c>
      <c r="I671" s="84">
        <f>I672</f>
        <v>3169.3</v>
      </c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</row>
    <row r="672" spans="1:23" ht="18.75" customHeight="1">
      <c r="A672" s="118" t="s">
        <v>836</v>
      </c>
      <c r="B672" s="89"/>
      <c r="C672" s="69" t="s">
        <v>45</v>
      </c>
      <c r="D672" s="69" t="s">
        <v>42</v>
      </c>
      <c r="E672" s="69" t="s">
        <v>533</v>
      </c>
      <c r="F672" s="69" t="s">
        <v>545</v>
      </c>
      <c r="G672" s="84">
        <f>'прил.16'!G710</f>
        <v>3906.8</v>
      </c>
      <c r="H672" s="84">
        <f>'прил.16'!H710</f>
        <v>3161.8</v>
      </c>
      <c r="I672" s="84">
        <f>'прил.16'!I710</f>
        <v>3169.3</v>
      </c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</row>
    <row r="673" spans="1:23" ht="18.75" customHeight="1">
      <c r="A673" s="116" t="s">
        <v>493</v>
      </c>
      <c r="B673" s="89">
        <v>801</v>
      </c>
      <c r="C673" s="69" t="s">
        <v>509</v>
      </c>
      <c r="D673" s="69"/>
      <c r="E673" s="69"/>
      <c r="F673" s="69"/>
      <c r="G673" s="84">
        <f aca="true" t="shared" si="57" ref="G673:I674">G674</f>
        <v>32768.4</v>
      </c>
      <c r="H673" s="84">
        <f t="shared" si="57"/>
        <v>30216.7</v>
      </c>
      <c r="I673" s="84">
        <f t="shared" si="57"/>
        <v>30286</v>
      </c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</row>
    <row r="674" spans="1:23" ht="18.75" customHeight="1">
      <c r="A674" s="116" t="s">
        <v>741</v>
      </c>
      <c r="B674" s="89"/>
      <c r="C674" s="69" t="s">
        <v>509</v>
      </c>
      <c r="D674" s="69" t="s">
        <v>791</v>
      </c>
      <c r="E674" s="69"/>
      <c r="F674" s="69"/>
      <c r="G674" s="84">
        <f t="shared" si="57"/>
        <v>32768.4</v>
      </c>
      <c r="H674" s="84">
        <f>H675+H680</f>
        <v>30216.7</v>
      </c>
      <c r="I674" s="84">
        <f t="shared" si="57"/>
        <v>30286</v>
      </c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</row>
    <row r="675" spans="1:23" ht="30" customHeight="1">
      <c r="A675" s="119" t="s">
        <v>742</v>
      </c>
      <c r="B675" s="89">
        <v>801</v>
      </c>
      <c r="C675" s="69" t="s">
        <v>509</v>
      </c>
      <c r="D675" s="69" t="s">
        <v>791</v>
      </c>
      <c r="E675" s="69" t="s">
        <v>367</v>
      </c>
      <c r="F675" s="69"/>
      <c r="G675" s="84">
        <f>G676+G678</f>
        <v>32768.4</v>
      </c>
      <c r="H675" s="84">
        <f>H676+H678</f>
        <v>30141.7</v>
      </c>
      <c r="I675" s="84">
        <f>I676+I678</f>
        <v>30286</v>
      </c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</row>
    <row r="676" spans="1:23" ht="18.75" customHeight="1">
      <c r="A676" s="116" t="s">
        <v>564</v>
      </c>
      <c r="B676" s="89">
        <v>801</v>
      </c>
      <c r="C676" s="69" t="s">
        <v>509</v>
      </c>
      <c r="D676" s="69" t="s">
        <v>791</v>
      </c>
      <c r="E676" s="69" t="s">
        <v>505</v>
      </c>
      <c r="F676" s="69"/>
      <c r="G676" s="84">
        <f>G677</f>
        <v>25</v>
      </c>
      <c r="H676" s="84">
        <f>H677</f>
        <v>25</v>
      </c>
      <c r="I676" s="84">
        <f>I677</f>
        <v>25</v>
      </c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</row>
    <row r="677" spans="1:23" ht="18.75" customHeight="1">
      <c r="A677" s="118" t="s">
        <v>836</v>
      </c>
      <c r="B677" s="89">
        <v>801</v>
      </c>
      <c r="C677" s="69" t="s">
        <v>509</v>
      </c>
      <c r="D677" s="69" t="s">
        <v>791</v>
      </c>
      <c r="E677" s="69" t="s">
        <v>505</v>
      </c>
      <c r="F677" s="69" t="s">
        <v>545</v>
      </c>
      <c r="G677" s="84">
        <f>'прил.16'!G150</f>
        <v>25</v>
      </c>
      <c r="H677" s="84">
        <f>'прил.16'!H150</f>
        <v>25</v>
      </c>
      <c r="I677" s="84">
        <f>'прил.16'!I150</f>
        <v>25</v>
      </c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</row>
    <row r="678" spans="1:23" ht="18.75" customHeight="1">
      <c r="A678" s="118" t="s">
        <v>540</v>
      </c>
      <c r="B678" s="89">
        <v>801</v>
      </c>
      <c r="C678" s="69" t="s">
        <v>509</v>
      </c>
      <c r="D678" s="69" t="s">
        <v>791</v>
      </c>
      <c r="E678" s="69" t="s">
        <v>368</v>
      </c>
      <c r="F678" s="69"/>
      <c r="G678" s="84">
        <f>G679</f>
        <v>32743.4</v>
      </c>
      <c r="H678" s="84">
        <f>H679</f>
        <v>30116.7</v>
      </c>
      <c r="I678" s="84">
        <f>I679</f>
        <v>30261</v>
      </c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</row>
    <row r="679" spans="1:23" ht="18.75" customHeight="1">
      <c r="A679" s="118" t="s">
        <v>836</v>
      </c>
      <c r="B679" s="89">
        <v>801</v>
      </c>
      <c r="C679" s="69" t="s">
        <v>509</v>
      </c>
      <c r="D679" s="69" t="s">
        <v>791</v>
      </c>
      <c r="E679" s="69" t="s">
        <v>368</v>
      </c>
      <c r="F679" s="69" t="s">
        <v>545</v>
      </c>
      <c r="G679" s="84">
        <f>'прил.16'!G152</f>
        <v>32743.4</v>
      </c>
      <c r="H679" s="84">
        <f>'прил.16'!H152</f>
        <v>30116.7</v>
      </c>
      <c r="I679" s="84">
        <f>'прил.16'!I152</f>
        <v>30261</v>
      </c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</row>
    <row r="680" spans="1:23" ht="18.75" customHeight="1">
      <c r="A680" s="140" t="s">
        <v>349</v>
      </c>
      <c r="B680" s="89"/>
      <c r="C680" s="69" t="s">
        <v>509</v>
      </c>
      <c r="D680" s="69" t="s">
        <v>791</v>
      </c>
      <c r="E680" s="87" t="s">
        <v>343</v>
      </c>
      <c r="F680" s="87"/>
      <c r="G680" s="84"/>
      <c r="H680" s="84">
        <f>H681</f>
        <v>75</v>
      </c>
      <c r="I680" s="84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</row>
    <row r="681" spans="1:23" ht="18.75" customHeight="1">
      <c r="A681" s="140" t="s">
        <v>380</v>
      </c>
      <c r="B681" s="89"/>
      <c r="C681" s="69" t="s">
        <v>509</v>
      </c>
      <c r="D681" s="69" t="s">
        <v>791</v>
      </c>
      <c r="E681" s="87" t="s">
        <v>344</v>
      </c>
      <c r="F681" s="87"/>
      <c r="G681" s="84"/>
      <c r="H681" s="84">
        <f>H682</f>
        <v>75</v>
      </c>
      <c r="I681" s="84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</row>
    <row r="682" spans="1:23" ht="37.5" customHeight="1">
      <c r="A682" s="124" t="s">
        <v>361</v>
      </c>
      <c r="B682" s="89"/>
      <c r="C682" s="69" t="s">
        <v>509</v>
      </c>
      <c r="D682" s="69" t="s">
        <v>791</v>
      </c>
      <c r="E682" s="87" t="s">
        <v>357</v>
      </c>
      <c r="F682" s="87"/>
      <c r="G682" s="84"/>
      <c r="H682" s="84">
        <f>H683</f>
        <v>75</v>
      </c>
      <c r="I682" s="84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</row>
    <row r="683" spans="1:23" ht="18.75" customHeight="1">
      <c r="A683" s="124" t="s">
        <v>346</v>
      </c>
      <c r="B683" s="89"/>
      <c r="C683" s="69" t="s">
        <v>509</v>
      </c>
      <c r="D683" s="69" t="s">
        <v>791</v>
      </c>
      <c r="E683" s="87" t="s">
        <v>357</v>
      </c>
      <c r="F683" s="87" t="s">
        <v>197</v>
      </c>
      <c r="G683" s="84"/>
      <c r="H683" s="84">
        <f>'прил.16'!H156</f>
        <v>75</v>
      </c>
      <c r="I683" s="84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</row>
    <row r="684" spans="1:23" ht="21" customHeight="1">
      <c r="A684" s="116" t="s">
        <v>494</v>
      </c>
      <c r="B684" s="75"/>
      <c r="C684" s="69" t="s">
        <v>487</v>
      </c>
      <c r="D684" s="69"/>
      <c r="E684" s="69"/>
      <c r="F684" s="69"/>
      <c r="G684" s="84">
        <f>G686</f>
        <v>26875</v>
      </c>
      <c r="H684" s="84">
        <f>H686</f>
        <v>17690</v>
      </c>
      <c r="I684" s="84">
        <f>I686</f>
        <v>7893</v>
      </c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</row>
    <row r="685" spans="1:23" ht="18.75" customHeight="1">
      <c r="A685" s="116" t="s">
        <v>743</v>
      </c>
      <c r="B685" s="75"/>
      <c r="C685" s="69" t="s">
        <v>487</v>
      </c>
      <c r="D685" s="69" t="s">
        <v>790</v>
      </c>
      <c r="E685" s="69"/>
      <c r="F685" s="69"/>
      <c r="G685" s="84">
        <f aca="true" t="shared" si="58" ref="G685:I687">G686</f>
        <v>26875</v>
      </c>
      <c r="H685" s="84">
        <f t="shared" si="58"/>
        <v>17690</v>
      </c>
      <c r="I685" s="84">
        <f t="shared" si="58"/>
        <v>7893</v>
      </c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</row>
    <row r="686" spans="1:23" ht="18.75" customHeight="1">
      <c r="A686" s="116" t="s">
        <v>744</v>
      </c>
      <c r="B686" s="75"/>
      <c r="C686" s="69" t="s">
        <v>487</v>
      </c>
      <c r="D686" s="69" t="s">
        <v>790</v>
      </c>
      <c r="E686" s="69" t="s">
        <v>135</v>
      </c>
      <c r="F686" s="69"/>
      <c r="G686" s="84">
        <f t="shared" si="58"/>
        <v>26875</v>
      </c>
      <c r="H686" s="84">
        <f t="shared" si="58"/>
        <v>17690</v>
      </c>
      <c r="I686" s="84">
        <f t="shared" si="58"/>
        <v>7893</v>
      </c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</row>
    <row r="687" spans="1:23" ht="18.75" customHeight="1">
      <c r="A687" s="118" t="s">
        <v>137</v>
      </c>
      <c r="B687" s="86"/>
      <c r="C687" s="69" t="s">
        <v>487</v>
      </c>
      <c r="D687" s="69" t="s">
        <v>790</v>
      </c>
      <c r="E687" s="69" t="s">
        <v>136</v>
      </c>
      <c r="F687" s="69"/>
      <c r="G687" s="84">
        <f t="shared" si="58"/>
        <v>26875</v>
      </c>
      <c r="H687" s="84">
        <f t="shared" si="58"/>
        <v>17690</v>
      </c>
      <c r="I687" s="84">
        <f t="shared" si="58"/>
        <v>7893</v>
      </c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</row>
    <row r="688" spans="1:23" ht="18.75" customHeight="1">
      <c r="A688" s="116" t="s">
        <v>138</v>
      </c>
      <c r="B688" s="75"/>
      <c r="C688" s="69" t="s">
        <v>487</v>
      </c>
      <c r="D688" s="69" t="s">
        <v>790</v>
      </c>
      <c r="E688" s="69" t="s">
        <v>136</v>
      </c>
      <c r="F688" s="69" t="s">
        <v>536</v>
      </c>
      <c r="G688" s="84">
        <f>'прил.16'!G542</f>
        <v>26875</v>
      </c>
      <c r="H688" s="84">
        <f>'прил.16'!H542</f>
        <v>17690</v>
      </c>
      <c r="I688" s="84">
        <f>'прил.16'!I542</f>
        <v>7893</v>
      </c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</row>
    <row r="689" spans="1:23" ht="17.25" customHeight="1">
      <c r="A689" s="119" t="s">
        <v>783</v>
      </c>
      <c r="B689" s="83"/>
      <c r="C689" s="69"/>
      <c r="D689" s="69"/>
      <c r="E689" s="69"/>
      <c r="F689" s="69"/>
      <c r="G689" s="84">
        <f>G16+G98+G124+G157+G251+G268+G406+G471+G562+G645+G673+G684</f>
        <v>5997705.400000002</v>
      </c>
      <c r="H689" s="84">
        <f>H16+H98+H124+H157+H251+H268+H406+H471+H562+H645+H673+H684</f>
        <v>5170957.8</v>
      </c>
      <c r="I689" s="84">
        <f>I16+I98+I124+I157+I251+I268+I406+I471+I562+I645+I673+I684</f>
        <v>4832155.399999999</v>
      </c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</row>
    <row r="690" spans="1:23" ht="17.25" customHeight="1">
      <c r="A690" s="122" t="s">
        <v>8</v>
      </c>
      <c r="B690" s="83"/>
      <c r="C690" s="69"/>
      <c r="D690" s="69"/>
      <c r="E690" s="69"/>
      <c r="F690" s="69"/>
      <c r="G690" s="84"/>
      <c r="H690" s="84">
        <f>'прил.16'!H1039</f>
        <v>1118472</v>
      </c>
      <c r="I690" s="84">
        <f>'прил.16'!I1039</f>
        <v>1133667.0000000002</v>
      </c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</row>
    <row r="691" spans="1:23" ht="17.25" customHeight="1">
      <c r="A691" s="122" t="s">
        <v>9</v>
      </c>
      <c r="B691" s="83"/>
      <c r="C691" s="69"/>
      <c r="D691" s="69"/>
      <c r="E691" s="69"/>
      <c r="F691" s="69"/>
      <c r="G691" s="84"/>
      <c r="H691" s="84">
        <f>H689+H690</f>
        <v>6289429.8</v>
      </c>
      <c r="I691" s="84">
        <f>I689+I690</f>
        <v>5965822.399999999</v>
      </c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</row>
    <row r="692" spans="1:23" ht="12.75">
      <c r="A692" s="123"/>
      <c r="B692" s="74"/>
      <c r="C692" s="74"/>
      <c r="D692" s="74"/>
      <c r="E692" s="74"/>
      <c r="F692" s="74"/>
      <c r="G692" s="101"/>
      <c r="H692" s="74"/>
      <c r="I692" s="102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</row>
    <row r="693" spans="1:23" ht="1.5" customHeight="1">
      <c r="A693" s="123"/>
      <c r="G693" s="5">
        <f>G689-'прил.16'!G1038</f>
        <v>0</v>
      </c>
      <c r="H693" s="5">
        <f>H689-'прил.16'!H1038</f>
        <v>0</v>
      </c>
      <c r="I693" s="5">
        <f>I689-'прил.16'!I1038</f>
        <v>0</v>
      </c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</row>
    <row r="694" spans="1:23" ht="12.75" hidden="1">
      <c r="A694" s="123"/>
      <c r="H694" s="5">
        <f>H691-'прил.16'!H1040</f>
        <v>0</v>
      </c>
      <c r="I694" s="5">
        <f>I691-'прил.16'!I1040</f>
        <v>0</v>
      </c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</row>
    <row r="695" spans="1:23" ht="12.75" hidden="1">
      <c r="A695" s="123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</row>
    <row r="696" spans="1:23" ht="12.75" hidden="1">
      <c r="A696" s="123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</row>
    <row r="697" spans="1:23" ht="12.75" hidden="1">
      <c r="A697" s="123"/>
      <c r="G697" s="5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</row>
    <row r="698" spans="1:23" ht="12.75" hidden="1">
      <c r="A698" s="123"/>
      <c r="G698" s="5">
        <f>G20+G24+G26+G28+G32+G46+G250+G259+G352+G447+G529+G622+G667+G141</f>
        <v>280301.3</v>
      </c>
      <c r="H698" s="5">
        <f>H20+H24+H26+H28+H32+H46+H250+H259+H352+H447+H529+H622+H667+H141</f>
        <v>272874.6</v>
      </c>
      <c r="I698" s="5">
        <f>I20+I24+I26+I28+I32+I46+I250+I259+I352+I447+I529+I622+I667+I141</f>
        <v>273397</v>
      </c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</row>
    <row r="699" spans="1:23" ht="12.75" hidden="1">
      <c r="A699" s="123"/>
      <c r="G699" s="5">
        <f>280722.6-G698</f>
        <v>421.29999999998836</v>
      </c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</row>
    <row r="700" spans="1:23" ht="12.75" hidden="1">
      <c r="A700" s="123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</row>
    <row r="701" spans="1:23" ht="12.75" hidden="1">
      <c r="A701" s="123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</row>
    <row r="702" spans="1:23" ht="12.75" hidden="1">
      <c r="A702" s="123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</row>
    <row r="703" spans="1:23" ht="12.75" hidden="1">
      <c r="A703" s="123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</row>
    <row r="704" spans="1:23" ht="16.5" hidden="1">
      <c r="A704" s="123"/>
      <c r="E704" s="4" t="s">
        <v>354</v>
      </c>
      <c r="G704" s="5">
        <f>G651+G640+G558+G465+G397+G119+G94+G347</f>
        <v>7440.299999999999</v>
      </c>
      <c r="H704" s="5">
        <f>H651+H640+H558+H465+H397+H119+H94+H347</f>
        <v>8198.3</v>
      </c>
      <c r="I704" s="5">
        <f>I651+I640+I558+I465+I397+I119+I94+I347</f>
        <v>9807.3</v>
      </c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</row>
    <row r="705" spans="1:23" ht="16.5" hidden="1">
      <c r="A705" s="123"/>
      <c r="E705" s="4" t="s">
        <v>350</v>
      </c>
      <c r="G705" s="5">
        <f>G560+G468+G400+G267</f>
        <v>9998.5</v>
      </c>
      <c r="H705" s="5">
        <f>H560+H468+H400+H267</f>
        <v>10897.8</v>
      </c>
      <c r="I705" s="5">
        <f>I560+I468+I400+I267</f>
        <v>16904.5</v>
      </c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</row>
    <row r="706" spans="1:23" ht="16.5" hidden="1">
      <c r="A706" s="123"/>
      <c r="E706" s="4" t="s">
        <v>348</v>
      </c>
      <c r="G706" s="5">
        <f>G653+G401</f>
        <v>25060.6</v>
      </c>
      <c r="H706" s="5">
        <f>H653+H401</f>
        <v>0</v>
      </c>
      <c r="I706" s="5">
        <f>I653+I401</f>
        <v>0</v>
      </c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</row>
    <row r="707" spans="1:7" ht="12.75" hidden="1">
      <c r="A707" s="123"/>
      <c r="G707">
        <v>1</v>
      </c>
    </row>
    <row r="708" ht="12.75">
      <c r="A708" s="123"/>
    </row>
    <row r="709" ht="12.75">
      <c r="A709" s="123"/>
    </row>
    <row r="710" ht="12.75">
      <c r="A710" s="123"/>
    </row>
    <row r="711" ht="12.75">
      <c r="A711" s="123"/>
    </row>
    <row r="712" ht="12.75">
      <c r="A712" s="123"/>
    </row>
    <row r="713" ht="12.75">
      <c r="A713" s="123"/>
    </row>
    <row r="714" ht="12.75">
      <c r="A714" s="123"/>
    </row>
  </sheetData>
  <mergeCells count="9">
    <mergeCell ref="H14:I14"/>
    <mergeCell ref="A8:I8"/>
    <mergeCell ref="A9:I9"/>
    <mergeCell ref="A7:I7"/>
    <mergeCell ref="A14:A15"/>
    <mergeCell ref="C14:C15"/>
    <mergeCell ref="D14:D15"/>
    <mergeCell ref="E14:E15"/>
    <mergeCell ref="F14:F15"/>
  </mergeCells>
  <printOptions/>
  <pageMargins left="1.1811023622047245" right="0.3937007874015748" top="0.7874015748031497" bottom="0.3937007874015748" header="0.3937007874015748" footer="0.42"/>
  <pageSetup fitToHeight="10" fitToWidth="1" horizontalDpi="600" verticalDpi="600" orientation="portrait" paperSize="9" scale="5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Y1070"/>
  <sheetViews>
    <sheetView showZeros="0" view="pageBreakPreview" zoomScale="85" zoomScaleNormal="75" zoomScaleSheetLayoutView="85" workbookViewId="0" topLeftCell="A832">
      <selection activeCell="A979" sqref="A979"/>
    </sheetView>
  </sheetViews>
  <sheetFormatPr defaultColWidth="9.00390625" defaultRowHeight="12.75"/>
  <cols>
    <col min="1" max="1" width="81.125" style="32" customWidth="1"/>
    <col min="2" max="2" width="6.75390625" style="32" customWidth="1"/>
    <col min="3" max="3" width="8.375" style="32" customWidth="1"/>
    <col min="4" max="4" width="5.75390625" style="32" customWidth="1"/>
    <col min="5" max="5" width="11.375" style="32" customWidth="1"/>
    <col min="6" max="6" width="5.75390625" style="32" customWidth="1"/>
    <col min="7" max="7" width="19.00390625" style="32" hidden="1" customWidth="1"/>
    <col min="8" max="9" width="12.375" style="32" customWidth="1"/>
    <col min="10" max="10" width="15.75390625" style="32" customWidth="1"/>
    <col min="11" max="11" width="10.875" style="32" hidden="1" customWidth="1"/>
    <col min="12" max="12" width="11.75390625" style="32" hidden="1" customWidth="1"/>
    <col min="13" max="13" width="12.25390625" style="34" hidden="1" customWidth="1"/>
    <col min="14" max="14" width="12.125" style="32" hidden="1" customWidth="1"/>
    <col min="15" max="15" width="10.75390625" style="32" bestFit="1" customWidth="1"/>
    <col min="16" max="17" width="9.125" style="32" customWidth="1"/>
    <col min="18" max="18" width="10.75390625" style="32" bestFit="1" customWidth="1"/>
    <col min="19" max="16384" width="9.125" style="32" customWidth="1"/>
  </cols>
  <sheetData>
    <row r="1" ht="12.75"/>
    <row r="2" spans="6:9" ht="16.5">
      <c r="F2" s="33"/>
      <c r="G2" s="33"/>
      <c r="H2" s="33"/>
      <c r="I2" s="33"/>
    </row>
    <row r="3" spans="7:9" ht="16.5">
      <c r="G3" s="33"/>
      <c r="H3" s="33" t="s">
        <v>599</v>
      </c>
      <c r="I3" s="33"/>
    </row>
    <row r="4" spans="7:29" ht="16.5">
      <c r="G4" s="33"/>
      <c r="H4" s="33" t="s">
        <v>148</v>
      </c>
      <c r="I4" s="33"/>
      <c r="J4" s="35"/>
      <c r="K4" s="35"/>
      <c r="L4" s="35"/>
      <c r="M4" s="36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</row>
    <row r="5" spans="7:29" ht="16.5">
      <c r="G5" s="33"/>
      <c r="H5" s="33" t="s">
        <v>147</v>
      </c>
      <c r="I5" s="33"/>
      <c r="J5" s="35"/>
      <c r="K5" s="35"/>
      <c r="L5" s="35"/>
      <c r="M5" s="36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</row>
    <row r="6" spans="7:29" ht="16.5">
      <c r="G6" s="33"/>
      <c r="H6" s="33" t="s">
        <v>461</v>
      </c>
      <c r="I6" s="33"/>
      <c r="J6" s="35"/>
      <c r="K6" s="35"/>
      <c r="L6" s="35"/>
      <c r="M6" s="36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</row>
    <row r="7" spans="6:29" ht="16.5">
      <c r="F7" s="33"/>
      <c r="G7" s="33"/>
      <c r="H7" s="33"/>
      <c r="I7" s="33"/>
      <c r="J7" s="35"/>
      <c r="K7" s="35"/>
      <c r="L7" s="35"/>
      <c r="M7" s="36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1:29" ht="21.75" customHeight="1">
      <c r="A8" s="173"/>
      <c r="B8" s="173"/>
      <c r="C8" s="173"/>
      <c r="D8" s="173"/>
      <c r="E8" s="173"/>
      <c r="F8" s="173"/>
      <c r="G8" s="173"/>
      <c r="H8" s="30"/>
      <c r="I8" s="30"/>
      <c r="J8" s="35"/>
      <c r="K8" s="35"/>
      <c r="L8" s="35"/>
      <c r="M8" s="36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</row>
    <row r="9" spans="1:29" ht="17.25" customHeight="1">
      <c r="A9" s="174" t="s">
        <v>255</v>
      </c>
      <c r="B9" s="174"/>
      <c r="C9" s="174"/>
      <c r="D9" s="174"/>
      <c r="E9" s="174"/>
      <c r="F9" s="175"/>
      <c r="G9" s="175"/>
      <c r="H9" s="176"/>
      <c r="I9" s="176"/>
      <c r="J9" s="35"/>
      <c r="K9" s="35"/>
      <c r="L9" s="35"/>
      <c r="M9" s="36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</row>
    <row r="10" spans="1:29" ht="21" customHeight="1">
      <c r="A10" s="174" t="s">
        <v>600</v>
      </c>
      <c r="B10" s="174"/>
      <c r="C10" s="174"/>
      <c r="D10" s="174"/>
      <c r="E10" s="175"/>
      <c r="F10" s="175"/>
      <c r="G10" s="175"/>
      <c r="H10" s="176"/>
      <c r="I10" s="176"/>
      <c r="J10" s="35"/>
      <c r="K10" s="35"/>
      <c r="L10" s="35"/>
      <c r="M10" s="36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</row>
    <row r="11" spans="1:29" ht="21" customHeight="1">
      <c r="A11" s="174" t="s">
        <v>595</v>
      </c>
      <c r="B11" s="176"/>
      <c r="C11" s="176"/>
      <c r="D11" s="176"/>
      <c r="E11" s="176"/>
      <c r="F11" s="176"/>
      <c r="G11" s="176"/>
      <c r="H11" s="176"/>
      <c r="I11" s="176"/>
      <c r="J11" s="35"/>
      <c r="K11" s="35"/>
      <c r="L11" s="35"/>
      <c r="M11" s="3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</row>
    <row r="12" spans="1:29" ht="16.5">
      <c r="A12" s="38"/>
      <c r="B12" s="38"/>
      <c r="C12" s="39"/>
      <c r="D12" s="39"/>
      <c r="E12" s="39"/>
      <c r="F12" s="39"/>
      <c r="J12" s="35"/>
      <c r="K12" s="35"/>
      <c r="L12" s="35"/>
      <c r="M12" s="36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</row>
    <row r="13" spans="1:29" ht="16.5">
      <c r="A13" s="40"/>
      <c r="B13" s="39"/>
      <c r="C13" s="39"/>
      <c r="D13" s="39"/>
      <c r="E13" s="39"/>
      <c r="F13" s="39"/>
      <c r="G13" s="41"/>
      <c r="H13" s="41"/>
      <c r="I13" s="41"/>
      <c r="J13" s="42"/>
      <c r="K13" s="35"/>
      <c r="L13" s="35"/>
      <c r="M13" s="36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</row>
    <row r="14" spans="1:29" s="37" customFormat="1" ht="28.5" customHeight="1">
      <c r="A14" s="171" t="s">
        <v>786</v>
      </c>
      <c r="B14" s="169" t="s">
        <v>526</v>
      </c>
      <c r="C14" s="169" t="s">
        <v>787</v>
      </c>
      <c r="D14" s="169" t="s">
        <v>48</v>
      </c>
      <c r="E14" s="169" t="s">
        <v>49</v>
      </c>
      <c r="F14" s="169" t="s">
        <v>50</v>
      </c>
      <c r="G14" s="26" t="s">
        <v>240</v>
      </c>
      <c r="H14" s="157" t="s">
        <v>587</v>
      </c>
      <c r="I14" s="158"/>
      <c r="J14" s="43"/>
      <c r="K14" s="44"/>
      <c r="L14" s="44"/>
      <c r="M14" s="45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</row>
    <row r="15" spans="1:29" s="37" customFormat="1" ht="21.75" customHeight="1">
      <c r="A15" s="172"/>
      <c r="B15" s="170"/>
      <c r="C15" s="170"/>
      <c r="D15" s="170"/>
      <c r="E15" s="170"/>
      <c r="F15" s="170"/>
      <c r="G15" s="26"/>
      <c r="H15" s="152" t="s">
        <v>241</v>
      </c>
      <c r="I15" s="152" t="s">
        <v>242</v>
      </c>
      <c r="J15" s="43"/>
      <c r="K15" s="44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</row>
    <row r="16" spans="1:29" ht="18.75" customHeight="1">
      <c r="A16" s="141" t="s">
        <v>82</v>
      </c>
      <c r="B16" s="103">
        <v>801</v>
      </c>
      <c r="C16" s="87"/>
      <c r="D16" s="87"/>
      <c r="E16" s="87"/>
      <c r="F16" s="87"/>
      <c r="G16" s="88">
        <f>SUM(G17,G67,G81,G102,G118,G128,G146)</f>
        <v>356811.00000000006</v>
      </c>
      <c r="H16" s="88">
        <f>SUM(H17,H67,H81,H102,H118,H128,H146)</f>
        <v>317282.2</v>
      </c>
      <c r="I16" s="88">
        <f>SUM(I17,I67,I81,I102,I118,I128,I146)</f>
        <v>319074.8</v>
      </c>
      <c r="J16" s="42"/>
      <c r="K16" s="35"/>
      <c r="L16" s="35"/>
      <c r="M16" s="36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</row>
    <row r="17" spans="1:29" ht="18" customHeight="1">
      <c r="A17" s="141" t="s">
        <v>0</v>
      </c>
      <c r="B17" s="103">
        <v>801</v>
      </c>
      <c r="C17" s="87" t="s">
        <v>790</v>
      </c>
      <c r="D17" s="87"/>
      <c r="E17" s="87"/>
      <c r="F17" s="87"/>
      <c r="G17" s="88">
        <f>SUM(G18,G22,G33,G40,G36)</f>
        <v>199703.30000000002</v>
      </c>
      <c r="H17" s="88">
        <f>SUM(H18,H22,H33,H40)</f>
        <v>174622.6</v>
      </c>
      <c r="I17" s="88">
        <f>SUM(I18,I22,I33,I40,I36)</f>
        <v>178243.7</v>
      </c>
      <c r="J17" s="42"/>
      <c r="K17" s="36"/>
      <c r="L17" s="35"/>
      <c r="M17" s="36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</row>
    <row r="18" spans="1:29" ht="36.75" customHeight="1">
      <c r="A18" s="141" t="s">
        <v>21</v>
      </c>
      <c r="B18" s="103">
        <v>801</v>
      </c>
      <c r="C18" s="87" t="s">
        <v>790</v>
      </c>
      <c r="D18" s="87" t="s">
        <v>791</v>
      </c>
      <c r="E18" s="87"/>
      <c r="F18" s="87"/>
      <c r="G18" s="88">
        <f>SUM(G19)</f>
        <v>2114.3</v>
      </c>
      <c r="H18" s="88">
        <f aca="true" t="shared" si="0" ref="H18:I20">SUM(H19)</f>
        <v>2114.3</v>
      </c>
      <c r="I18" s="88">
        <f t="shared" si="0"/>
        <v>2114.3</v>
      </c>
      <c r="J18" s="42"/>
      <c r="K18" s="46" t="s">
        <v>508</v>
      </c>
      <c r="L18" s="36">
        <f>G102+G175+G235+G267+G283+G533+G559+G650+G722+G839+G883+G986</f>
        <v>2294335</v>
      </c>
      <c r="M18" s="36">
        <f>H102+H175+H235+H267+H283+H533+H559+H650+H722+H839+H883+H986</f>
        <v>2049791.2000000002</v>
      </c>
      <c r="N18" s="36">
        <f>I102+I175+I235+I267+I283+I533+I559+I650+I722+I839+I883+I986</f>
        <v>2092183.2</v>
      </c>
      <c r="O18" s="36"/>
      <c r="P18" s="35"/>
      <c r="Q18" s="35"/>
      <c r="R18" s="3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</row>
    <row r="19" spans="1:29" ht="51" customHeight="1">
      <c r="A19" s="125" t="s">
        <v>26</v>
      </c>
      <c r="B19" s="103">
        <v>801</v>
      </c>
      <c r="C19" s="87" t="s">
        <v>790</v>
      </c>
      <c r="D19" s="87" t="s">
        <v>791</v>
      </c>
      <c r="E19" s="87" t="s">
        <v>27</v>
      </c>
      <c r="F19" s="87"/>
      <c r="G19" s="88">
        <f>SUM(G20)</f>
        <v>2114.3</v>
      </c>
      <c r="H19" s="88">
        <f t="shared" si="0"/>
        <v>2114.3</v>
      </c>
      <c r="I19" s="88">
        <f t="shared" si="0"/>
        <v>2114.3</v>
      </c>
      <c r="J19" s="42"/>
      <c r="K19" s="46" t="s">
        <v>790</v>
      </c>
      <c r="L19" s="36">
        <f>G17+G158+G181+G504+G544+G856+G785</f>
        <v>302014.30000000005</v>
      </c>
      <c r="M19" s="36">
        <f>H17+H158+H181+H504+H544+H856+H785</f>
        <v>273895.10000000003</v>
      </c>
      <c r="N19" s="36">
        <f>I17+I158+I181+I504+I544+I856+I785</f>
        <v>276979</v>
      </c>
      <c r="O19" s="35"/>
      <c r="P19" s="35"/>
      <c r="Q19" s="35"/>
      <c r="R19" s="36"/>
      <c r="S19" s="36"/>
      <c r="T19" s="35"/>
      <c r="U19" s="35"/>
      <c r="V19" s="35"/>
      <c r="W19" s="35"/>
      <c r="X19" s="35"/>
      <c r="Y19" s="35"/>
      <c r="Z19" s="35"/>
      <c r="AA19" s="35"/>
      <c r="AB19" s="35"/>
      <c r="AC19" s="35"/>
    </row>
    <row r="20" spans="1:29" ht="18.75" customHeight="1">
      <c r="A20" s="125" t="s">
        <v>583</v>
      </c>
      <c r="B20" s="103">
        <v>801</v>
      </c>
      <c r="C20" s="87" t="s">
        <v>790</v>
      </c>
      <c r="D20" s="87" t="s">
        <v>791</v>
      </c>
      <c r="E20" s="87" t="s">
        <v>28</v>
      </c>
      <c r="F20" s="87"/>
      <c r="G20" s="88">
        <f>SUM(G21)</f>
        <v>2114.3</v>
      </c>
      <c r="H20" s="88">
        <f t="shared" si="0"/>
        <v>2114.3</v>
      </c>
      <c r="I20" s="88">
        <f t="shared" si="0"/>
        <v>2114.3</v>
      </c>
      <c r="J20" s="42"/>
      <c r="K20" s="46" t="s">
        <v>792</v>
      </c>
      <c r="L20" s="36">
        <f>G67+G1025+G871</f>
        <v>61553.2</v>
      </c>
      <c r="M20" s="36">
        <f>H67+H1025+H871</f>
        <v>58288.600000000006</v>
      </c>
      <c r="N20" s="36">
        <f>I67+I1025+I871</f>
        <v>58819.5</v>
      </c>
      <c r="O20" s="35"/>
      <c r="P20" s="35"/>
      <c r="Q20" s="35"/>
      <c r="R20" s="3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</row>
    <row r="21" spans="1:29" ht="19.5" customHeight="1">
      <c r="A21" s="124" t="s">
        <v>346</v>
      </c>
      <c r="B21" s="103">
        <v>801</v>
      </c>
      <c r="C21" s="87" t="s">
        <v>790</v>
      </c>
      <c r="D21" s="87" t="s">
        <v>791</v>
      </c>
      <c r="E21" s="87" t="s">
        <v>28</v>
      </c>
      <c r="F21" s="87" t="s">
        <v>197</v>
      </c>
      <c r="G21" s="88">
        <v>2114.3</v>
      </c>
      <c r="H21" s="88">
        <v>2114.3</v>
      </c>
      <c r="I21" s="88">
        <v>2114.3</v>
      </c>
      <c r="J21" s="42"/>
      <c r="K21" s="46" t="s">
        <v>793</v>
      </c>
      <c r="L21" s="36">
        <f>G81+G254+G918+G798+G845</f>
        <v>148281.9</v>
      </c>
      <c r="M21" s="36">
        <f>H81+H254+H918+H798+H845</f>
        <v>126825.09999999998</v>
      </c>
      <c r="N21" s="36">
        <f>I81+I254+I918+I798+I845</f>
        <v>124417.80000000002</v>
      </c>
      <c r="O21" s="35"/>
      <c r="P21" s="35"/>
      <c r="Q21" s="35"/>
      <c r="R21" s="3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</row>
    <row r="22" spans="1:29" ht="53.25" customHeight="1">
      <c r="A22" s="125" t="s">
        <v>30</v>
      </c>
      <c r="B22" s="103">
        <v>801</v>
      </c>
      <c r="C22" s="87" t="s">
        <v>790</v>
      </c>
      <c r="D22" s="87" t="s">
        <v>793</v>
      </c>
      <c r="E22" s="87"/>
      <c r="F22" s="87"/>
      <c r="G22" s="88">
        <f>SUM(G23,G26)</f>
        <v>93195.7</v>
      </c>
      <c r="H22" s="88">
        <f>SUM(H23,H26)</f>
        <v>90310</v>
      </c>
      <c r="I22" s="88">
        <f>SUM(I23,I26)</f>
        <v>90561.70000000001</v>
      </c>
      <c r="J22" s="42"/>
      <c r="K22" s="46" t="s">
        <v>42</v>
      </c>
      <c r="L22" s="36">
        <f>G191+G872+G924</f>
        <v>1227383.7</v>
      </c>
      <c r="M22" s="36">
        <f>H191+H872+H924</f>
        <v>957131.9000000001</v>
      </c>
      <c r="N22" s="36">
        <f>I191+I872+I924</f>
        <v>570664.0999999999</v>
      </c>
      <c r="O22" s="35"/>
      <c r="P22" s="35"/>
      <c r="Q22" s="35"/>
      <c r="R22" s="3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</row>
    <row r="23" spans="1:29" ht="48" customHeight="1">
      <c r="A23" s="125" t="s">
        <v>26</v>
      </c>
      <c r="B23" s="103">
        <v>801</v>
      </c>
      <c r="C23" s="87" t="s">
        <v>790</v>
      </c>
      <c r="D23" s="87" t="s">
        <v>793</v>
      </c>
      <c r="E23" s="87" t="s">
        <v>27</v>
      </c>
      <c r="F23" s="87"/>
      <c r="G23" s="88">
        <f aca="true" t="shared" si="1" ref="G23:I24">SUM(G24)</f>
        <v>91568.5</v>
      </c>
      <c r="H23" s="88">
        <f t="shared" si="1"/>
        <v>88764.7</v>
      </c>
      <c r="I23" s="88">
        <f t="shared" si="1"/>
        <v>89016.40000000001</v>
      </c>
      <c r="J23" s="42"/>
      <c r="K23" s="46" t="s">
        <v>794</v>
      </c>
      <c r="L23" s="36">
        <f>G826+G980</f>
        <v>18767.199999999997</v>
      </c>
      <c r="M23" s="36">
        <f>H826+H980</f>
        <v>16189.699999999999</v>
      </c>
      <c r="N23" s="36">
        <f>I826+I980</f>
        <v>17023.600000000002</v>
      </c>
      <c r="O23" s="35"/>
      <c r="P23" s="35"/>
      <c r="Q23" s="35"/>
      <c r="R23" s="3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</row>
    <row r="24" spans="1:29" ht="18" customHeight="1">
      <c r="A24" s="125" t="s">
        <v>560</v>
      </c>
      <c r="B24" s="103">
        <v>801</v>
      </c>
      <c r="C24" s="87" t="s">
        <v>790</v>
      </c>
      <c r="D24" s="87" t="s">
        <v>793</v>
      </c>
      <c r="E24" s="87" t="s">
        <v>29</v>
      </c>
      <c r="F24" s="87"/>
      <c r="G24" s="88">
        <f t="shared" si="1"/>
        <v>91568.5</v>
      </c>
      <c r="H24" s="88">
        <f t="shared" si="1"/>
        <v>88764.7</v>
      </c>
      <c r="I24" s="88">
        <f t="shared" si="1"/>
        <v>89016.40000000001</v>
      </c>
      <c r="J24" s="42"/>
      <c r="K24" s="46" t="s">
        <v>43</v>
      </c>
      <c r="L24" s="36">
        <f>G118+G382+G578+G903</f>
        <v>222955.90000000002</v>
      </c>
      <c r="M24" s="36">
        <f>H118+H382+H578+H903</f>
        <v>200270.50000000003</v>
      </c>
      <c r="N24" s="36">
        <f>I118+I382+I578+I903</f>
        <v>203659.3</v>
      </c>
      <c r="O24" s="35"/>
      <c r="P24" s="35"/>
      <c r="Q24" s="35"/>
      <c r="R24" s="3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</row>
    <row r="25" spans="1:29" ht="18.75" customHeight="1">
      <c r="A25" s="124" t="s">
        <v>690</v>
      </c>
      <c r="B25" s="103">
        <v>801</v>
      </c>
      <c r="C25" s="87" t="s">
        <v>790</v>
      </c>
      <c r="D25" s="87" t="s">
        <v>793</v>
      </c>
      <c r="E25" s="87" t="s">
        <v>29</v>
      </c>
      <c r="F25" s="87" t="s">
        <v>197</v>
      </c>
      <c r="G25" s="88">
        <f>90282.2+1286.3</f>
        <v>91568.5</v>
      </c>
      <c r="H25" s="88">
        <f>87413.9+1350.8</f>
        <v>88764.7</v>
      </c>
      <c r="I25" s="88">
        <f>87665.6+1350.8</f>
        <v>89016.40000000001</v>
      </c>
      <c r="J25" s="42"/>
      <c r="K25" s="46" t="s">
        <v>40</v>
      </c>
      <c r="L25" s="36">
        <f>G422+G908+G1016</f>
        <v>381714.4</v>
      </c>
      <c r="M25" s="36">
        <f>H422+H908+H1016</f>
        <v>294968.7</v>
      </c>
      <c r="N25" s="36">
        <f>I422+I908+I1016</f>
        <v>283669.2</v>
      </c>
      <c r="O25" s="35"/>
      <c r="P25" s="35"/>
      <c r="Q25" s="35"/>
      <c r="R25" s="3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</row>
    <row r="26" spans="1:29" ht="18.75" customHeight="1">
      <c r="A26" s="124" t="s">
        <v>609</v>
      </c>
      <c r="B26" s="103">
        <v>801</v>
      </c>
      <c r="C26" s="87" t="s">
        <v>790</v>
      </c>
      <c r="D26" s="87" t="s">
        <v>793</v>
      </c>
      <c r="E26" s="87" t="s">
        <v>15</v>
      </c>
      <c r="F26" s="87"/>
      <c r="G26" s="88">
        <f>G27+G29+G31</f>
        <v>1627.2</v>
      </c>
      <c r="H26" s="88">
        <f>H27+H29+H31</f>
        <v>1545.3</v>
      </c>
      <c r="I26" s="88">
        <f>I27+I29+I31</f>
        <v>1545.3</v>
      </c>
      <c r="J26" s="42"/>
      <c r="K26" s="46"/>
      <c r="L26" s="36"/>
      <c r="M26" s="36"/>
      <c r="N26" s="36"/>
      <c r="O26" s="35"/>
      <c r="P26" s="35"/>
      <c r="Q26" s="35"/>
      <c r="R26" s="3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</row>
    <row r="27" spans="1:29" ht="52.5" customHeight="1">
      <c r="A27" s="124" t="s">
        <v>812</v>
      </c>
      <c r="B27" s="103">
        <v>801</v>
      </c>
      <c r="C27" s="87" t="s">
        <v>790</v>
      </c>
      <c r="D27" s="87" t="s">
        <v>793</v>
      </c>
      <c r="E27" s="87" t="s">
        <v>334</v>
      </c>
      <c r="F27" s="87"/>
      <c r="G27" s="88">
        <f>G28</f>
        <v>1073.8</v>
      </c>
      <c r="H27" s="88">
        <f>H28</f>
        <v>1020.1</v>
      </c>
      <c r="I27" s="88">
        <f>I28</f>
        <v>1020.1</v>
      </c>
      <c r="J27" s="42"/>
      <c r="K27" s="46"/>
      <c r="L27" s="36"/>
      <c r="M27" s="36"/>
      <c r="N27" s="36"/>
      <c r="O27" s="35"/>
      <c r="P27" s="35"/>
      <c r="Q27" s="35"/>
      <c r="R27" s="3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</row>
    <row r="28" spans="1:29" ht="18.75" customHeight="1">
      <c r="A28" s="125" t="s">
        <v>363</v>
      </c>
      <c r="B28" s="103">
        <v>801</v>
      </c>
      <c r="C28" s="87" t="s">
        <v>790</v>
      </c>
      <c r="D28" s="87" t="s">
        <v>793</v>
      </c>
      <c r="E28" s="87" t="s">
        <v>334</v>
      </c>
      <c r="F28" s="87" t="s">
        <v>195</v>
      </c>
      <c r="G28" s="88">
        <v>1073.8</v>
      </c>
      <c r="H28" s="88">
        <v>1020.1</v>
      </c>
      <c r="I28" s="88">
        <v>1020.1</v>
      </c>
      <c r="J28" s="42"/>
      <c r="K28" s="46"/>
      <c r="L28" s="36"/>
      <c r="M28" s="36"/>
      <c r="N28" s="36"/>
      <c r="O28" s="35"/>
      <c r="P28" s="35"/>
      <c r="Q28" s="35"/>
      <c r="R28" s="3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</row>
    <row r="29" spans="1:29" ht="49.5" customHeight="1">
      <c r="A29" s="125" t="s">
        <v>691</v>
      </c>
      <c r="B29" s="103">
        <v>801</v>
      </c>
      <c r="C29" s="87" t="s">
        <v>790</v>
      </c>
      <c r="D29" s="87" t="s">
        <v>793</v>
      </c>
      <c r="E29" s="87" t="s">
        <v>335</v>
      </c>
      <c r="F29" s="87"/>
      <c r="G29" s="88">
        <f>G30</f>
        <v>552.7</v>
      </c>
      <c r="H29" s="88">
        <f>H30</f>
        <v>524.5</v>
      </c>
      <c r="I29" s="88">
        <f>I30</f>
        <v>524.5</v>
      </c>
      <c r="J29" s="42"/>
      <c r="K29" s="46"/>
      <c r="L29" s="36"/>
      <c r="M29" s="36"/>
      <c r="N29" s="36"/>
      <c r="O29" s="35"/>
      <c r="P29" s="35"/>
      <c r="Q29" s="35"/>
      <c r="R29" s="3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</row>
    <row r="30" spans="1:29" ht="18.75" customHeight="1">
      <c r="A30" s="125" t="s">
        <v>363</v>
      </c>
      <c r="B30" s="103">
        <v>801</v>
      </c>
      <c r="C30" s="87" t="s">
        <v>790</v>
      </c>
      <c r="D30" s="87" t="s">
        <v>793</v>
      </c>
      <c r="E30" s="87" t="s">
        <v>335</v>
      </c>
      <c r="F30" s="87" t="s">
        <v>195</v>
      </c>
      <c r="G30" s="88">
        <v>552.7</v>
      </c>
      <c r="H30" s="88">
        <v>524.5</v>
      </c>
      <c r="I30" s="88">
        <v>524.5</v>
      </c>
      <c r="J30" s="42"/>
      <c r="K30" s="46"/>
      <c r="L30" s="36"/>
      <c r="M30" s="36"/>
      <c r="N30" s="36"/>
      <c r="O30" s="35"/>
      <c r="P30" s="35"/>
      <c r="Q30" s="35"/>
      <c r="R30" s="3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</row>
    <row r="31" spans="1:29" ht="88.5" customHeight="1">
      <c r="A31" s="125" t="s">
        <v>307</v>
      </c>
      <c r="B31" s="103">
        <v>801</v>
      </c>
      <c r="C31" s="87" t="s">
        <v>790</v>
      </c>
      <c r="D31" s="87" t="s">
        <v>793</v>
      </c>
      <c r="E31" s="87" t="s">
        <v>336</v>
      </c>
      <c r="F31" s="87"/>
      <c r="G31" s="88">
        <f>G32</f>
        <v>0.7</v>
      </c>
      <c r="H31" s="88">
        <f>H32</f>
        <v>0.7</v>
      </c>
      <c r="I31" s="88">
        <f>I32</f>
        <v>0.7</v>
      </c>
      <c r="J31" s="42"/>
      <c r="K31" s="46"/>
      <c r="L31" s="36"/>
      <c r="M31" s="36"/>
      <c r="N31" s="36"/>
      <c r="O31" s="35"/>
      <c r="P31" s="35"/>
      <c r="Q31" s="35"/>
      <c r="R31" s="3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</row>
    <row r="32" spans="1:29" ht="18.75" customHeight="1">
      <c r="A32" s="125" t="s">
        <v>363</v>
      </c>
      <c r="B32" s="103">
        <v>801</v>
      </c>
      <c r="C32" s="87" t="s">
        <v>790</v>
      </c>
      <c r="D32" s="87" t="s">
        <v>793</v>
      </c>
      <c r="E32" s="87" t="s">
        <v>336</v>
      </c>
      <c r="F32" s="87" t="s">
        <v>195</v>
      </c>
      <c r="G32" s="88">
        <v>0.7</v>
      </c>
      <c r="H32" s="88">
        <v>0.7</v>
      </c>
      <c r="I32" s="88">
        <v>0.7</v>
      </c>
      <c r="J32" s="42"/>
      <c r="K32" s="46"/>
      <c r="L32" s="36"/>
      <c r="M32" s="36"/>
      <c r="N32" s="36"/>
      <c r="O32" s="35"/>
      <c r="P32" s="35"/>
      <c r="Q32" s="35"/>
      <c r="R32" s="3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</row>
    <row r="33" spans="1:29" ht="18" customHeight="1">
      <c r="A33" s="125" t="s">
        <v>586</v>
      </c>
      <c r="B33" s="103">
        <v>801</v>
      </c>
      <c r="C33" s="87" t="s">
        <v>790</v>
      </c>
      <c r="D33" s="87" t="s">
        <v>42</v>
      </c>
      <c r="E33" s="87"/>
      <c r="F33" s="87"/>
      <c r="G33" s="88">
        <f aca="true" t="shared" si="2" ref="G33:I34">G34</f>
        <v>0</v>
      </c>
      <c r="H33" s="88">
        <f t="shared" si="2"/>
        <v>211.7</v>
      </c>
      <c r="I33" s="88">
        <f t="shared" si="2"/>
        <v>0</v>
      </c>
      <c r="J33" s="42"/>
      <c r="K33" s="35">
        <v>10</v>
      </c>
      <c r="L33" s="36">
        <f>G128+G240+G387+G672+G732+G633</f>
        <v>994874.9000000001</v>
      </c>
      <c r="M33" s="36">
        <f>H128+H240+H387+H672+H732+H633</f>
        <v>868260.5000000001</v>
      </c>
      <c r="N33" s="36">
        <f>I128+I240+I387+I672+I732+I633</f>
        <v>882787.7000000001</v>
      </c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</row>
    <row r="34" spans="1:29" ht="53.25" customHeight="1">
      <c r="A34" s="126" t="s">
        <v>692</v>
      </c>
      <c r="B34" s="103">
        <v>801</v>
      </c>
      <c r="C34" s="87" t="s">
        <v>790</v>
      </c>
      <c r="D34" s="87" t="s">
        <v>42</v>
      </c>
      <c r="E34" s="87" t="s">
        <v>304</v>
      </c>
      <c r="F34" s="87"/>
      <c r="G34" s="88">
        <f t="shared" si="2"/>
        <v>0</v>
      </c>
      <c r="H34" s="88">
        <f t="shared" si="2"/>
        <v>211.7</v>
      </c>
      <c r="I34" s="88">
        <f t="shared" si="2"/>
        <v>0</v>
      </c>
      <c r="J34" s="42"/>
      <c r="K34" s="35">
        <v>11</v>
      </c>
      <c r="L34" s="36">
        <f>G678</f>
        <v>286181.5</v>
      </c>
      <c r="M34" s="36">
        <f>H678</f>
        <v>277429.80000000005</v>
      </c>
      <c r="N34" s="36">
        <f>I678</f>
        <v>283773</v>
      </c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</row>
    <row r="35" spans="1:29" ht="20.25" customHeight="1">
      <c r="A35" s="125" t="s">
        <v>363</v>
      </c>
      <c r="B35" s="103">
        <v>801</v>
      </c>
      <c r="C35" s="87" t="s">
        <v>790</v>
      </c>
      <c r="D35" s="87" t="s">
        <v>42</v>
      </c>
      <c r="E35" s="87" t="s">
        <v>304</v>
      </c>
      <c r="F35" s="87" t="s">
        <v>195</v>
      </c>
      <c r="G35" s="88"/>
      <c r="H35" s="88">
        <v>211.7</v>
      </c>
      <c r="I35" s="88"/>
      <c r="J35" s="42"/>
      <c r="K35" s="35">
        <v>12</v>
      </c>
      <c r="L35" s="36">
        <f>G146</f>
        <v>32768.4</v>
      </c>
      <c r="M35" s="36">
        <f>H146</f>
        <v>30216.7</v>
      </c>
      <c r="N35" s="36">
        <f>I146</f>
        <v>30286</v>
      </c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</row>
    <row r="36" spans="1:29" ht="20.25" customHeight="1" hidden="1">
      <c r="A36" s="132" t="s">
        <v>517</v>
      </c>
      <c r="B36" s="103">
        <v>801</v>
      </c>
      <c r="C36" s="104" t="s">
        <v>790</v>
      </c>
      <c r="D36" s="87" t="s">
        <v>508</v>
      </c>
      <c r="E36" s="87"/>
      <c r="F36" s="87"/>
      <c r="G36" s="88">
        <f>G37</f>
        <v>2005.6</v>
      </c>
      <c r="H36" s="153"/>
      <c r="I36" s="88">
        <f aca="true" t="shared" si="3" ref="G36:I38">I37</f>
        <v>0</v>
      </c>
      <c r="J36" s="42"/>
      <c r="K36" s="35">
        <v>13</v>
      </c>
      <c r="L36" s="36">
        <f>G538</f>
        <v>26875</v>
      </c>
      <c r="M36" s="36">
        <f>H538</f>
        <v>17690</v>
      </c>
      <c r="N36" s="36">
        <f>I538</f>
        <v>7893</v>
      </c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</row>
    <row r="37" spans="1:29" ht="20.25" customHeight="1" hidden="1">
      <c r="A37" s="142" t="s">
        <v>602</v>
      </c>
      <c r="B37" s="103">
        <v>801</v>
      </c>
      <c r="C37" s="104" t="s">
        <v>790</v>
      </c>
      <c r="D37" s="87" t="s">
        <v>508</v>
      </c>
      <c r="E37" s="87" t="s">
        <v>12</v>
      </c>
      <c r="F37" s="87"/>
      <c r="G37" s="88">
        <f t="shared" si="3"/>
        <v>2005.6</v>
      </c>
      <c r="H37" s="88">
        <f t="shared" si="3"/>
        <v>0</v>
      </c>
      <c r="I37" s="88">
        <f t="shared" si="3"/>
        <v>0</v>
      </c>
      <c r="J37" s="42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</row>
    <row r="38" spans="1:29" ht="39.75" customHeight="1" hidden="1">
      <c r="A38" s="125" t="s">
        <v>10</v>
      </c>
      <c r="B38" s="103">
        <v>801</v>
      </c>
      <c r="C38" s="104" t="s">
        <v>790</v>
      </c>
      <c r="D38" s="87" t="s">
        <v>508</v>
      </c>
      <c r="E38" s="87" t="s">
        <v>11</v>
      </c>
      <c r="F38" s="87"/>
      <c r="G38" s="88">
        <f t="shared" si="3"/>
        <v>2005.6</v>
      </c>
      <c r="H38" s="88">
        <f t="shared" si="3"/>
        <v>0</v>
      </c>
      <c r="I38" s="88">
        <f t="shared" si="3"/>
        <v>0</v>
      </c>
      <c r="J38" s="42"/>
      <c r="K38" s="35"/>
      <c r="L38" s="36">
        <f>SUM(L18:L37)</f>
        <v>5997705.400000001</v>
      </c>
      <c r="M38" s="36">
        <f>SUM(M18:M37)</f>
        <v>5170957.800000001</v>
      </c>
      <c r="N38" s="36">
        <f>SUM(N18:N37)</f>
        <v>4832155.399999999</v>
      </c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</row>
    <row r="39" spans="1:29" ht="20.25" customHeight="1" hidden="1">
      <c r="A39" s="125" t="s">
        <v>346</v>
      </c>
      <c r="B39" s="103">
        <v>801</v>
      </c>
      <c r="C39" s="104" t="s">
        <v>790</v>
      </c>
      <c r="D39" s="87" t="s">
        <v>508</v>
      </c>
      <c r="E39" s="87" t="s">
        <v>29</v>
      </c>
      <c r="F39" s="87" t="s">
        <v>197</v>
      </c>
      <c r="G39" s="88">
        <f>1802+203.6</f>
        <v>2005.6</v>
      </c>
      <c r="H39" s="88"/>
      <c r="I39" s="88"/>
      <c r="J39" s="42"/>
      <c r="K39" s="35"/>
      <c r="L39" s="35"/>
      <c r="M39" s="36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</row>
    <row r="40" spans="1:29" ht="18.75" customHeight="1">
      <c r="A40" s="131" t="s">
        <v>305</v>
      </c>
      <c r="B40" s="103">
        <v>801</v>
      </c>
      <c r="C40" s="87" t="s">
        <v>790</v>
      </c>
      <c r="D40" s="87" t="s">
        <v>487</v>
      </c>
      <c r="E40" s="87"/>
      <c r="F40" s="87"/>
      <c r="G40" s="88">
        <f>G41+G47+G61+G52</f>
        <v>102387.7</v>
      </c>
      <c r="H40" s="88">
        <f>H41+H47+H61+H52</f>
        <v>81986.6</v>
      </c>
      <c r="I40" s="88">
        <f>I41+I47+I61+I52</f>
        <v>85567.7</v>
      </c>
      <c r="J40" s="42"/>
      <c r="K40" s="35"/>
      <c r="L40" s="35"/>
      <c r="M40" s="36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</row>
    <row r="41" spans="1:29" ht="19.5" customHeight="1">
      <c r="A41" s="140" t="s">
        <v>5</v>
      </c>
      <c r="B41" s="103">
        <v>801</v>
      </c>
      <c r="C41" s="87" t="s">
        <v>790</v>
      </c>
      <c r="D41" s="87" t="s">
        <v>487</v>
      </c>
      <c r="E41" s="87" t="s">
        <v>342</v>
      </c>
      <c r="F41" s="87"/>
      <c r="G41" s="88">
        <f>G42+G45</f>
        <v>91541.5</v>
      </c>
      <c r="H41" s="88">
        <f>H42+H45</f>
        <v>71171.8</v>
      </c>
      <c r="I41" s="88">
        <f>I42+I45</f>
        <v>74235.5</v>
      </c>
      <c r="J41" s="42"/>
      <c r="K41" s="35"/>
      <c r="L41" s="35"/>
      <c r="M41" s="36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</row>
    <row r="42" spans="1:29" ht="20.25" customHeight="1">
      <c r="A42" s="125" t="s">
        <v>6</v>
      </c>
      <c r="B42" s="103">
        <v>801</v>
      </c>
      <c r="C42" s="87" t="s">
        <v>790</v>
      </c>
      <c r="D42" s="87" t="s">
        <v>487</v>
      </c>
      <c r="E42" s="87" t="s">
        <v>399</v>
      </c>
      <c r="F42" s="87"/>
      <c r="G42" s="88">
        <f>SUM(G43:G44)</f>
        <v>5728.5</v>
      </c>
      <c r="H42" s="88">
        <f>SUM(H43:H44)</f>
        <v>177.5</v>
      </c>
      <c r="I42" s="88">
        <f>SUM(I43:I44)</f>
        <v>177.5</v>
      </c>
      <c r="J42" s="42"/>
      <c r="K42" s="35"/>
      <c r="L42" s="35"/>
      <c r="M42" s="36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</row>
    <row r="43" spans="1:29" ht="20.25" customHeight="1" hidden="1">
      <c r="A43" s="131" t="s">
        <v>625</v>
      </c>
      <c r="B43" s="103">
        <v>801</v>
      </c>
      <c r="C43" s="87" t="s">
        <v>790</v>
      </c>
      <c r="D43" s="87" t="s">
        <v>487</v>
      </c>
      <c r="E43" s="87" t="s">
        <v>399</v>
      </c>
      <c r="F43" s="87" t="s">
        <v>238</v>
      </c>
      <c r="G43" s="88">
        <v>700</v>
      </c>
      <c r="H43" s="88"/>
      <c r="I43" s="88"/>
      <c r="J43" s="42"/>
      <c r="K43" s="35"/>
      <c r="L43" s="35"/>
      <c r="M43" s="36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</row>
    <row r="44" spans="1:29" ht="20.25" customHeight="1">
      <c r="A44" s="124" t="s">
        <v>346</v>
      </c>
      <c r="B44" s="103">
        <v>801</v>
      </c>
      <c r="C44" s="87" t="s">
        <v>790</v>
      </c>
      <c r="D44" s="87" t="s">
        <v>487</v>
      </c>
      <c r="E44" s="87" t="s">
        <v>399</v>
      </c>
      <c r="F44" s="87" t="s">
        <v>197</v>
      </c>
      <c r="G44" s="88">
        <f>9069.1-700-203.6+363-3500</f>
        <v>5028.5</v>
      </c>
      <c r="H44" s="88">
        <v>177.5</v>
      </c>
      <c r="I44" s="88">
        <v>177.5</v>
      </c>
      <c r="J44" s="42"/>
      <c r="K44" s="35"/>
      <c r="L44" s="35"/>
      <c r="M44" s="36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</row>
    <row r="45" spans="1:29" ht="20.25" customHeight="1">
      <c r="A45" s="131" t="s">
        <v>540</v>
      </c>
      <c r="B45" s="103">
        <v>801</v>
      </c>
      <c r="C45" s="87" t="s">
        <v>790</v>
      </c>
      <c r="D45" s="87" t="s">
        <v>487</v>
      </c>
      <c r="E45" s="87" t="s">
        <v>547</v>
      </c>
      <c r="F45" s="87"/>
      <c r="G45" s="88">
        <f>SUM(G46)</f>
        <v>85813</v>
      </c>
      <c r="H45" s="88">
        <f>SUM(H46)</f>
        <v>70994.3</v>
      </c>
      <c r="I45" s="88">
        <f>SUM(I46)</f>
        <v>74058</v>
      </c>
      <c r="J45" s="42"/>
      <c r="K45" s="35"/>
      <c r="L45" s="35"/>
      <c r="M45" s="36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</row>
    <row r="46" spans="1:29" ht="20.25" customHeight="1">
      <c r="A46" s="125" t="s">
        <v>836</v>
      </c>
      <c r="B46" s="103">
        <v>801</v>
      </c>
      <c r="C46" s="87" t="s">
        <v>790</v>
      </c>
      <c r="D46" s="87" t="s">
        <v>487</v>
      </c>
      <c r="E46" s="87" t="s">
        <v>547</v>
      </c>
      <c r="F46" s="87" t="s">
        <v>545</v>
      </c>
      <c r="G46" s="88">
        <v>85813</v>
      </c>
      <c r="H46" s="88">
        <v>70994.3</v>
      </c>
      <c r="I46" s="88">
        <v>74058</v>
      </c>
      <c r="J46" s="42"/>
      <c r="K46" s="35"/>
      <c r="L46" s="35"/>
      <c r="M46" s="36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</row>
    <row r="47" spans="1:29" ht="21" customHeight="1">
      <c r="A47" s="118" t="s">
        <v>622</v>
      </c>
      <c r="B47" s="103">
        <v>801</v>
      </c>
      <c r="C47" s="87" t="s">
        <v>790</v>
      </c>
      <c r="D47" s="87" t="s">
        <v>487</v>
      </c>
      <c r="E47" s="105" t="s">
        <v>141</v>
      </c>
      <c r="F47" s="105"/>
      <c r="G47" s="88">
        <f>G48+G50</f>
        <v>7905.5</v>
      </c>
      <c r="H47" s="88">
        <f>H48+H50</f>
        <v>7923.5</v>
      </c>
      <c r="I47" s="88">
        <f>I48+I50</f>
        <v>8120.9</v>
      </c>
      <c r="J47" s="42"/>
      <c r="K47" s="35"/>
      <c r="L47" s="35"/>
      <c r="M47" s="36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</row>
    <row r="48" spans="1:29" ht="20.25" customHeight="1">
      <c r="A48" s="131" t="s">
        <v>564</v>
      </c>
      <c r="B48" s="103">
        <v>801</v>
      </c>
      <c r="C48" s="87" t="s">
        <v>790</v>
      </c>
      <c r="D48" s="87" t="s">
        <v>487</v>
      </c>
      <c r="E48" s="105" t="s">
        <v>484</v>
      </c>
      <c r="F48" s="105"/>
      <c r="G48" s="88">
        <f>SUM(G49)</f>
        <v>111.7</v>
      </c>
      <c r="H48" s="88">
        <f>SUM(H49)</f>
        <v>111.7</v>
      </c>
      <c r="I48" s="88">
        <f>SUM(I49)</f>
        <v>111.7</v>
      </c>
      <c r="J48" s="42"/>
      <c r="K48" s="35"/>
      <c r="L48" s="35"/>
      <c r="M48" s="36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</row>
    <row r="49" spans="1:29" ht="20.25" customHeight="1">
      <c r="A49" s="125" t="s">
        <v>140</v>
      </c>
      <c r="B49" s="103">
        <v>801</v>
      </c>
      <c r="C49" s="87" t="s">
        <v>790</v>
      </c>
      <c r="D49" s="87" t="s">
        <v>487</v>
      </c>
      <c r="E49" s="105" t="s">
        <v>484</v>
      </c>
      <c r="F49" s="87" t="s">
        <v>545</v>
      </c>
      <c r="G49" s="88">
        <v>111.7</v>
      </c>
      <c r="H49" s="88">
        <v>111.7</v>
      </c>
      <c r="I49" s="88">
        <v>111.7</v>
      </c>
      <c r="J49" s="42"/>
      <c r="K49" s="35"/>
      <c r="L49" s="35"/>
      <c r="M49" s="36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</row>
    <row r="50" spans="1:29" ht="20.25" customHeight="1">
      <c r="A50" s="131" t="s">
        <v>540</v>
      </c>
      <c r="B50" s="103">
        <v>801</v>
      </c>
      <c r="C50" s="87" t="s">
        <v>790</v>
      </c>
      <c r="D50" s="87" t="s">
        <v>487</v>
      </c>
      <c r="E50" s="87" t="s">
        <v>142</v>
      </c>
      <c r="F50" s="87"/>
      <c r="G50" s="88">
        <f>SUM(G51)</f>
        <v>7793.8</v>
      </c>
      <c r="H50" s="88">
        <f>SUM(H51)</f>
        <v>7811.8</v>
      </c>
      <c r="I50" s="88">
        <f>SUM(I51)</f>
        <v>8009.2</v>
      </c>
      <c r="J50" s="42"/>
      <c r="K50" s="35"/>
      <c r="L50" s="35"/>
      <c r="M50" s="36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</row>
    <row r="51" spans="1:29" ht="20.25" customHeight="1">
      <c r="A51" s="125" t="s">
        <v>140</v>
      </c>
      <c r="B51" s="103">
        <v>801</v>
      </c>
      <c r="C51" s="87" t="s">
        <v>790</v>
      </c>
      <c r="D51" s="87" t="s">
        <v>487</v>
      </c>
      <c r="E51" s="87" t="s">
        <v>142</v>
      </c>
      <c r="F51" s="87" t="s">
        <v>545</v>
      </c>
      <c r="G51" s="88">
        <v>7793.8</v>
      </c>
      <c r="H51" s="88">
        <v>7811.8</v>
      </c>
      <c r="I51" s="88">
        <v>8009.2</v>
      </c>
      <c r="J51" s="42"/>
      <c r="K51" s="35"/>
      <c r="L51" s="35"/>
      <c r="M51" s="36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</row>
    <row r="52" spans="1:29" ht="20.25" customHeight="1">
      <c r="A52" s="124" t="s">
        <v>609</v>
      </c>
      <c r="B52" s="103">
        <v>801</v>
      </c>
      <c r="C52" s="87" t="s">
        <v>790</v>
      </c>
      <c r="D52" s="87" t="s">
        <v>487</v>
      </c>
      <c r="E52" s="87" t="s">
        <v>15</v>
      </c>
      <c r="F52" s="87"/>
      <c r="G52" s="88">
        <f>G53+G55+G57+G60</f>
        <v>838.2</v>
      </c>
      <c r="H52" s="88">
        <f>H53+H55+H57+H60</f>
        <v>796.3</v>
      </c>
      <c r="I52" s="88">
        <f>I53+I55+I57+I60</f>
        <v>796.3</v>
      </c>
      <c r="J52" s="42"/>
      <c r="K52" s="35"/>
      <c r="L52" s="35"/>
      <c r="M52" s="36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</row>
    <row r="53" spans="1:29" ht="36" customHeight="1" hidden="1">
      <c r="A53" s="124" t="s">
        <v>610</v>
      </c>
      <c r="B53" s="103">
        <v>801</v>
      </c>
      <c r="C53" s="87" t="s">
        <v>790</v>
      </c>
      <c r="D53" s="87" t="s">
        <v>487</v>
      </c>
      <c r="E53" s="87" t="s">
        <v>334</v>
      </c>
      <c r="F53" s="87"/>
      <c r="G53" s="88">
        <f>G54</f>
        <v>0</v>
      </c>
      <c r="H53" s="88">
        <f>H54</f>
        <v>0</v>
      </c>
      <c r="I53" s="88">
        <f>I54</f>
        <v>0</v>
      </c>
      <c r="J53" s="42"/>
      <c r="K53" s="35"/>
      <c r="L53" s="35"/>
      <c r="M53" s="36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</row>
    <row r="54" spans="1:29" ht="20.25" customHeight="1" hidden="1">
      <c r="A54" s="125" t="s">
        <v>363</v>
      </c>
      <c r="B54" s="103">
        <v>801</v>
      </c>
      <c r="C54" s="87" t="s">
        <v>790</v>
      </c>
      <c r="D54" s="87" t="s">
        <v>487</v>
      </c>
      <c r="E54" s="87" t="s">
        <v>334</v>
      </c>
      <c r="F54" s="87" t="s">
        <v>195</v>
      </c>
      <c r="G54" s="88"/>
      <c r="H54" s="88"/>
      <c r="I54" s="88"/>
      <c r="J54" s="42"/>
      <c r="K54" s="35"/>
      <c r="L54" s="35"/>
      <c r="M54" s="36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</row>
    <row r="55" spans="1:29" ht="32.25" customHeight="1">
      <c r="A55" s="124" t="s">
        <v>309</v>
      </c>
      <c r="B55" s="103">
        <v>801</v>
      </c>
      <c r="C55" s="87" t="s">
        <v>790</v>
      </c>
      <c r="D55" s="87" t="s">
        <v>487</v>
      </c>
      <c r="E55" s="87" t="s">
        <v>332</v>
      </c>
      <c r="F55" s="87"/>
      <c r="G55" s="88">
        <f>G56</f>
        <v>838.2</v>
      </c>
      <c r="H55" s="88">
        <f>H56</f>
        <v>796.3</v>
      </c>
      <c r="I55" s="88">
        <f>I56</f>
        <v>796.3</v>
      </c>
      <c r="J55" s="42"/>
      <c r="K55" s="35"/>
      <c r="L55" s="35"/>
      <c r="M55" s="36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</row>
    <row r="56" spans="1:29" ht="20.25" customHeight="1">
      <c r="A56" s="125" t="s">
        <v>836</v>
      </c>
      <c r="B56" s="103">
        <v>801</v>
      </c>
      <c r="C56" s="87" t="s">
        <v>790</v>
      </c>
      <c r="D56" s="87" t="s">
        <v>487</v>
      </c>
      <c r="E56" s="87" t="s">
        <v>332</v>
      </c>
      <c r="F56" s="87" t="s">
        <v>545</v>
      </c>
      <c r="G56" s="88">
        <v>838.2</v>
      </c>
      <c r="H56" s="88">
        <v>796.3</v>
      </c>
      <c r="I56" s="88">
        <v>796.3</v>
      </c>
      <c r="J56" s="42"/>
      <c r="K56" s="35"/>
      <c r="L56" s="35"/>
      <c r="M56" s="36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</row>
    <row r="57" spans="1:29" ht="33.75" customHeight="1" hidden="1">
      <c r="A57" s="125" t="s">
        <v>611</v>
      </c>
      <c r="B57" s="103">
        <v>801</v>
      </c>
      <c r="C57" s="87" t="s">
        <v>790</v>
      </c>
      <c r="D57" s="87" t="s">
        <v>487</v>
      </c>
      <c r="E57" s="87" t="s">
        <v>335</v>
      </c>
      <c r="F57" s="87"/>
      <c r="G57" s="88">
        <f>G58</f>
        <v>0</v>
      </c>
      <c r="H57" s="88">
        <f>H58</f>
        <v>0</v>
      </c>
      <c r="I57" s="88">
        <f>I58</f>
        <v>0</v>
      </c>
      <c r="J57" s="42"/>
      <c r="K57" s="35"/>
      <c r="L57" s="35"/>
      <c r="M57" s="36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</row>
    <row r="58" spans="1:29" ht="20.25" customHeight="1" hidden="1">
      <c r="A58" s="125" t="s">
        <v>363</v>
      </c>
      <c r="B58" s="103">
        <v>801</v>
      </c>
      <c r="C58" s="87" t="s">
        <v>790</v>
      </c>
      <c r="D58" s="87" t="s">
        <v>487</v>
      </c>
      <c r="E58" s="87" t="s">
        <v>335</v>
      </c>
      <c r="F58" s="87" t="s">
        <v>195</v>
      </c>
      <c r="G58" s="88"/>
      <c r="H58" s="88"/>
      <c r="I58" s="88"/>
      <c r="J58" s="42"/>
      <c r="K58" s="35"/>
      <c r="L58" s="35"/>
      <c r="M58" s="36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</row>
    <row r="59" spans="1:29" ht="71.25" customHeight="1" hidden="1">
      <c r="A59" s="125" t="s">
        <v>612</v>
      </c>
      <c r="B59" s="103">
        <v>801</v>
      </c>
      <c r="C59" s="87" t="s">
        <v>790</v>
      </c>
      <c r="D59" s="87" t="s">
        <v>487</v>
      </c>
      <c r="E59" s="87" t="s">
        <v>336</v>
      </c>
      <c r="F59" s="87"/>
      <c r="G59" s="88">
        <f>G60</f>
        <v>0</v>
      </c>
      <c r="H59" s="88">
        <f>H60</f>
        <v>0</v>
      </c>
      <c r="I59" s="88">
        <f>I60</f>
        <v>0</v>
      </c>
      <c r="J59" s="42"/>
      <c r="K59" s="35"/>
      <c r="L59" s="35"/>
      <c r="M59" s="36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</row>
    <row r="60" spans="1:29" ht="20.25" customHeight="1" hidden="1">
      <c r="A60" s="125" t="s">
        <v>363</v>
      </c>
      <c r="B60" s="103">
        <v>801</v>
      </c>
      <c r="C60" s="87" t="s">
        <v>790</v>
      </c>
      <c r="D60" s="87" t="s">
        <v>487</v>
      </c>
      <c r="E60" s="87" t="s">
        <v>336</v>
      </c>
      <c r="F60" s="87" t="s">
        <v>195</v>
      </c>
      <c r="G60" s="88"/>
      <c r="H60" s="88"/>
      <c r="I60" s="88"/>
      <c r="J60" s="42"/>
      <c r="K60" s="35"/>
      <c r="L60" s="35"/>
      <c r="M60" s="36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</row>
    <row r="61" spans="1:29" ht="18.75" customHeight="1">
      <c r="A61" s="140" t="s">
        <v>349</v>
      </c>
      <c r="B61" s="103">
        <v>801</v>
      </c>
      <c r="C61" s="87" t="s">
        <v>790</v>
      </c>
      <c r="D61" s="87" t="s">
        <v>487</v>
      </c>
      <c r="E61" s="87" t="s">
        <v>343</v>
      </c>
      <c r="F61" s="87"/>
      <c r="G61" s="88">
        <f>G62</f>
        <v>2102.5</v>
      </c>
      <c r="H61" s="88">
        <f>H62</f>
        <v>2095</v>
      </c>
      <c r="I61" s="88">
        <f>I62</f>
        <v>2415</v>
      </c>
      <c r="J61" s="42"/>
      <c r="K61" s="35"/>
      <c r="L61" s="35"/>
      <c r="M61" s="36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</row>
    <row r="62" spans="1:29" ht="18.75" customHeight="1">
      <c r="A62" s="140" t="s">
        <v>380</v>
      </c>
      <c r="B62" s="103">
        <v>801</v>
      </c>
      <c r="C62" s="87" t="s">
        <v>790</v>
      </c>
      <c r="D62" s="87" t="s">
        <v>487</v>
      </c>
      <c r="E62" s="87" t="s">
        <v>344</v>
      </c>
      <c r="F62" s="87"/>
      <c r="G62" s="88">
        <f>G63+G65</f>
        <v>2102.5</v>
      </c>
      <c r="H62" s="88">
        <f>H63+H65</f>
        <v>2095</v>
      </c>
      <c r="I62" s="88">
        <f>I63+I65</f>
        <v>2415</v>
      </c>
      <c r="J62" s="42"/>
      <c r="K62" s="35"/>
      <c r="L62" s="35"/>
      <c r="M62" s="36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</row>
    <row r="63" spans="1:29" ht="21.75" customHeight="1">
      <c r="A63" s="131" t="s">
        <v>199</v>
      </c>
      <c r="B63" s="103">
        <v>801</v>
      </c>
      <c r="C63" s="87" t="s">
        <v>790</v>
      </c>
      <c r="D63" s="87" t="s">
        <v>487</v>
      </c>
      <c r="E63" s="87" t="s">
        <v>354</v>
      </c>
      <c r="F63" s="87"/>
      <c r="G63" s="88">
        <f>SUM(G64)</f>
        <v>1934.5</v>
      </c>
      <c r="H63" s="88">
        <f>SUM(H64)</f>
        <v>2095</v>
      </c>
      <c r="I63" s="88">
        <f>SUM(I64)</f>
        <v>2415</v>
      </c>
      <c r="J63" s="42"/>
      <c r="K63" s="35"/>
      <c r="L63" s="35"/>
      <c r="M63" s="36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</row>
    <row r="64" spans="1:29" ht="21" customHeight="1">
      <c r="A64" s="124" t="s">
        <v>690</v>
      </c>
      <c r="B64" s="103">
        <v>801</v>
      </c>
      <c r="C64" s="87" t="s">
        <v>790</v>
      </c>
      <c r="D64" s="87" t="s">
        <v>487</v>
      </c>
      <c r="E64" s="87" t="s">
        <v>354</v>
      </c>
      <c r="F64" s="87" t="s">
        <v>197</v>
      </c>
      <c r="G64" s="88">
        <v>1934.5</v>
      </c>
      <c r="H64" s="88">
        <v>2095</v>
      </c>
      <c r="I64" s="88">
        <v>2415</v>
      </c>
      <c r="J64" s="42"/>
      <c r="K64" s="35"/>
      <c r="L64" s="35"/>
      <c r="M64" s="36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</row>
    <row r="65" spans="1:29" ht="21" customHeight="1" hidden="1">
      <c r="A65" s="124" t="s">
        <v>361</v>
      </c>
      <c r="B65" s="103">
        <v>801</v>
      </c>
      <c r="C65" s="87" t="s">
        <v>790</v>
      </c>
      <c r="D65" s="87" t="s">
        <v>487</v>
      </c>
      <c r="E65" s="87" t="s">
        <v>357</v>
      </c>
      <c r="F65" s="87"/>
      <c r="G65" s="88">
        <f>G66</f>
        <v>168</v>
      </c>
      <c r="H65" s="88">
        <f>H66</f>
        <v>0</v>
      </c>
      <c r="I65" s="88">
        <f>I66</f>
        <v>0</v>
      </c>
      <c r="J65" s="42"/>
      <c r="K65" s="35"/>
      <c r="L65" s="35"/>
      <c r="M65" s="36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</row>
    <row r="66" spans="1:29" ht="21" customHeight="1" hidden="1">
      <c r="A66" s="124" t="s">
        <v>346</v>
      </c>
      <c r="B66" s="103">
        <v>801</v>
      </c>
      <c r="C66" s="87" t="s">
        <v>790</v>
      </c>
      <c r="D66" s="87" t="s">
        <v>487</v>
      </c>
      <c r="E66" s="87" t="s">
        <v>357</v>
      </c>
      <c r="F66" s="87" t="s">
        <v>197</v>
      </c>
      <c r="G66" s="88">
        <v>168</v>
      </c>
      <c r="H66" s="88"/>
      <c r="I66" s="88"/>
      <c r="J66" s="42"/>
      <c r="K66" s="35"/>
      <c r="L66" s="35"/>
      <c r="M66" s="36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</row>
    <row r="67" spans="1:29" ht="21" customHeight="1">
      <c r="A67" s="125" t="s">
        <v>306</v>
      </c>
      <c r="B67" s="103">
        <v>801</v>
      </c>
      <c r="C67" s="87" t="s">
        <v>792</v>
      </c>
      <c r="D67" s="87"/>
      <c r="E67" s="87"/>
      <c r="F67" s="87"/>
      <c r="G67" s="88">
        <f>G68+G78</f>
        <v>37541</v>
      </c>
      <c r="H67" s="88">
        <f>H68+H78</f>
        <v>34949</v>
      </c>
      <c r="I67" s="88">
        <f>I68+I78</f>
        <v>35379.4</v>
      </c>
      <c r="J67" s="42"/>
      <c r="K67" s="35"/>
      <c r="L67" s="35"/>
      <c r="M67" s="36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</row>
    <row r="68" spans="1:29" ht="38.25" customHeight="1">
      <c r="A68" s="131" t="s">
        <v>616</v>
      </c>
      <c r="B68" s="103">
        <v>801</v>
      </c>
      <c r="C68" s="87" t="s">
        <v>792</v>
      </c>
      <c r="D68" s="87" t="s">
        <v>40</v>
      </c>
      <c r="E68" s="105"/>
      <c r="F68" s="105"/>
      <c r="G68" s="88">
        <f>G69+G74</f>
        <v>37541</v>
      </c>
      <c r="H68" s="88">
        <f>H69+H74</f>
        <v>34949</v>
      </c>
      <c r="I68" s="88">
        <f>I69+I74</f>
        <v>35379.4</v>
      </c>
      <c r="J68" s="42"/>
      <c r="K68" s="35"/>
      <c r="L68" s="35"/>
      <c r="M68" s="36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</row>
    <row r="69" spans="1:29" ht="20.25" customHeight="1">
      <c r="A69" s="131" t="s">
        <v>617</v>
      </c>
      <c r="B69" s="103">
        <v>801</v>
      </c>
      <c r="C69" s="87" t="s">
        <v>792</v>
      </c>
      <c r="D69" s="87" t="s">
        <v>40</v>
      </c>
      <c r="E69" s="87" t="s">
        <v>388</v>
      </c>
      <c r="F69" s="87"/>
      <c r="G69" s="88">
        <f>G70+G72</f>
        <v>37262.6</v>
      </c>
      <c r="H69" s="88">
        <f>H70+H72</f>
        <v>34713</v>
      </c>
      <c r="I69" s="88">
        <f>I70+I72</f>
        <v>35020.4</v>
      </c>
      <c r="J69" s="42"/>
      <c r="K69" s="35"/>
      <c r="L69" s="35"/>
      <c r="M69" s="36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</row>
    <row r="70" spans="1:29" ht="21" customHeight="1">
      <c r="A70" s="131" t="s">
        <v>564</v>
      </c>
      <c r="B70" s="103">
        <v>801</v>
      </c>
      <c r="C70" s="87" t="s">
        <v>792</v>
      </c>
      <c r="D70" s="87" t="s">
        <v>40</v>
      </c>
      <c r="E70" s="87" t="s">
        <v>474</v>
      </c>
      <c r="F70" s="87"/>
      <c r="G70" s="88">
        <f>SUM(G71)</f>
        <v>370.9</v>
      </c>
      <c r="H70" s="88">
        <f>SUM(H71)</f>
        <v>370.9</v>
      </c>
      <c r="I70" s="88">
        <f>SUM(I71)</f>
        <v>370.9</v>
      </c>
      <c r="J70" s="42"/>
      <c r="K70" s="35"/>
      <c r="L70" s="35"/>
      <c r="M70" s="36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</row>
    <row r="71" spans="1:29" ht="21" customHeight="1">
      <c r="A71" s="125" t="s">
        <v>140</v>
      </c>
      <c r="B71" s="103">
        <v>801</v>
      </c>
      <c r="C71" s="87" t="s">
        <v>792</v>
      </c>
      <c r="D71" s="87" t="s">
        <v>40</v>
      </c>
      <c r="E71" s="87" t="s">
        <v>474</v>
      </c>
      <c r="F71" s="87" t="s">
        <v>545</v>
      </c>
      <c r="G71" s="88">
        <v>370.9</v>
      </c>
      <c r="H71" s="88">
        <v>370.9</v>
      </c>
      <c r="I71" s="88">
        <v>370.9</v>
      </c>
      <c r="J71" s="42"/>
      <c r="K71" s="35"/>
      <c r="L71" s="35"/>
      <c r="M71" s="36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</row>
    <row r="72" spans="1:29" ht="21" customHeight="1">
      <c r="A72" s="131" t="s">
        <v>540</v>
      </c>
      <c r="B72" s="103">
        <v>801</v>
      </c>
      <c r="C72" s="87" t="s">
        <v>792</v>
      </c>
      <c r="D72" s="87" t="s">
        <v>40</v>
      </c>
      <c r="E72" s="87" t="s">
        <v>387</v>
      </c>
      <c r="F72" s="87"/>
      <c r="G72" s="88">
        <f>SUM(G73)</f>
        <v>36891.7</v>
      </c>
      <c r="H72" s="88">
        <f>SUM(H73)</f>
        <v>34342.1</v>
      </c>
      <c r="I72" s="88">
        <f>SUM(I73)</f>
        <v>34649.5</v>
      </c>
      <c r="J72" s="42"/>
      <c r="K72" s="35"/>
      <c r="L72" s="35"/>
      <c r="M72" s="36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</row>
    <row r="73" spans="1:29" ht="21" customHeight="1">
      <c r="A73" s="125" t="s">
        <v>140</v>
      </c>
      <c r="B73" s="103">
        <v>801</v>
      </c>
      <c r="C73" s="87" t="s">
        <v>792</v>
      </c>
      <c r="D73" s="87" t="s">
        <v>40</v>
      </c>
      <c r="E73" s="87" t="s">
        <v>387</v>
      </c>
      <c r="F73" s="87" t="s">
        <v>545</v>
      </c>
      <c r="G73" s="88">
        <v>36891.7</v>
      </c>
      <c r="H73" s="88">
        <v>34342.1</v>
      </c>
      <c r="I73" s="88">
        <v>34649.5</v>
      </c>
      <c r="J73" s="42"/>
      <c r="K73" s="35"/>
      <c r="L73" s="35"/>
      <c r="M73" s="36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</row>
    <row r="74" spans="1:29" ht="18.75" customHeight="1">
      <c r="A74" s="131" t="s">
        <v>349</v>
      </c>
      <c r="B74" s="103">
        <v>801</v>
      </c>
      <c r="C74" s="87" t="s">
        <v>792</v>
      </c>
      <c r="D74" s="87" t="s">
        <v>40</v>
      </c>
      <c r="E74" s="104" t="s">
        <v>343</v>
      </c>
      <c r="F74" s="87"/>
      <c r="G74" s="88">
        <f>G76</f>
        <v>278.4</v>
      </c>
      <c r="H74" s="88">
        <f>H76</f>
        <v>236</v>
      </c>
      <c r="I74" s="88">
        <f>I76</f>
        <v>359</v>
      </c>
      <c r="J74" s="42"/>
      <c r="K74" s="35"/>
      <c r="L74" s="35"/>
      <c r="M74" s="36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</row>
    <row r="75" spans="1:29" ht="18.75" customHeight="1">
      <c r="A75" s="131" t="s">
        <v>383</v>
      </c>
      <c r="B75" s="103">
        <v>801</v>
      </c>
      <c r="C75" s="87" t="s">
        <v>792</v>
      </c>
      <c r="D75" s="87" t="s">
        <v>40</v>
      </c>
      <c r="E75" s="104" t="s">
        <v>344</v>
      </c>
      <c r="F75" s="87"/>
      <c r="G75" s="88">
        <f aca="true" t="shared" si="4" ref="G75:I76">G76</f>
        <v>278.4</v>
      </c>
      <c r="H75" s="88">
        <f t="shared" si="4"/>
        <v>236</v>
      </c>
      <c r="I75" s="88">
        <f t="shared" si="4"/>
        <v>359</v>
      </c>
      <c r="J75" s="42"/>
      <c r="K75" s="35"/>
      <c r="L75" s="35"/>
      <c r="M75" s="36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</row>
    <row r="76" spans="1:29" ht="20.25" customHeight="1">
      <c r="A76" s="131" t="s">
        <v>199</v>
      </c>
      <c r="B76" s="103">
        <v>801</v>
      </c>
      <c r="C76" s="87" t="s">
        <v>792</v>
      </c>
      <c r="D76" s="87" t="s">
        <v>40</v>
      </c>
      <c r="E76" s="87" t="s">
        <v>354</v>
      </c>
      <c r="F76" s="87"/>
      <c r="G76" s="88">
        <f t="shared" si="4"/>
        <v>278.4</v>
      </c>
      <c r="H76" s="88">
        <f t="shared" si="4"/>
        <v>236</v>
      </c>
      <c r="I76" s="88">
        <f t="shared" si="4"/>
        <v>359</v>
      </c>
      <c r="J76" s="42"/>
      <c r="K76" s="35"/>
      <c r="L76" s="35"/>
      <c r="M76" s="36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</row>
    <row r="77" spans="1:29" ht="20.25" customHeight="1">
      <c r="A77" s="125" t="s">
        <v>690</v>
      </c>
      <c r="B77" s="103">
        <v>801</v>
      </c>
      <c r="C77" s="87" t="s">
        <v>792</v>
      </c>
      <c r="D77" s="87" t="s">
        <v>40</v>
      </c>
      <c r="E77" s="87" t="s">
        <v>354</v>
      </c>
      <c r="F77" s="87" t="s">
        <v>197</v>
      </c>
      <c r="G77" s="88">
        <v>278.4</v>
      </c>
      <c r="H77" s="88">
        <v>236</v>
      </c>
      <c r="I77" s="88">
        <v>359</v>
      </c>
      <c r="J77" s="42"/>
      <c r="K77" s="35"/>
      <c r="L77" s="35"/>
      <c r="M77" s="36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</row>
    <row r="78" spans="1:29" ht="18" customHeight="1" hidden="1">
      <c r="A78" s="132" t="s">
        <v>319</v>
      </c>
      <c r="B78" s="103">
        <v>801</v>
      </c>
      <c r="C78" s="87" t="s">
        <v>792</v>
      </c>
      <c r="D78" s="87" t="s">
        <v>544</v>
      </c>
      <c r="E78" s="87"/>
      <c r="F78" s="87"/>
      <c r="G78" s="88">
        <f aca="true" t="shared" si="5" ref="G78:I79">SUM(G79)</f>
        <v>0</v>
      </c>
      <c r="H78" s="88">
        <f t="shared" si="5"/>
        <v>0</v>
      </c>
      <c r="I78" s="88">
        <f t="shared" si="5"/>
        <v>0</v>
      </c>
      <c r="J78" s="42"/>
      <c r="K78" s="35"/>
      <c r="L78" s="35"/>
      <c r="M78" s="36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</row>
    <row r="79" spans="1:29" ht="36" customHeight="1" hidden="1">
      <c r="A79" s="132" t="s">
        <v>340</v>
      </c>
      <c r="B79" s="103">
        <v>801</v>
      </c>
      <c r="C79" s="87" t="s">
        <v>792</v>
      </c>
      <c r="D79" s="87" t="s">
        <v>544</v>
      </c>
      <c r="E79" s="87" t="s">
        <v>341</v>
      </c>
      <c r="F79" s="87"/>
      <c r="G79" s="88">
        <f t="shared" si="5"/>
        <v>0</v>
      </c>
      <c r="H79" s="88">
        <f t="shared" si="5"/>
        <v>0</v>
      </c>
      <c r="I79" s="88">
        <f t="shared" si="5"/>
        <v>0</v>
      </c>
      <c r="J79" s="42"/>
      <c r="K79" s="35"/>
      <c r="L79" s="35"/>
      <c r="M79" s="36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</row>
    <row r="80" spans="1:29" ht="21" customHeight="1" hidden="1">
      <c r="A80" s="124" t="s">
        <v>346</v>
      </c>
      <c r="B80" s="103">
        <v>801</v>
      </c>
      <c r="C80" s="87" t="s">
        <v>792</v>
      </c>
      <c r="D80" s="87" t="s">
        <v>544</v>
      </c>
      <c r="E80" s="87" t="s">
        <v>341</v>
      </c>
      <c r="F80" s="87" t="s">
        <v>197</v>
      </c>
      <c r="G80" s="88"/>
      <c r="H80" s="88"/>
      <c r="I80" s="88"/>
      <c r="J80" s="42"/>
      <c r="K80" s="35"/>
      <c r="L80" s="35"/>
      <c r="M80" s="36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</row>
    <row r="81" spans="1:29" ht="16.5">
      <c r="A81" s="124" t="s">
        <v>418</v>
      </c>
      <c r="B81" s="103">
        <v>801</v>
      </c>
      <c r="C81" s="87" t="s">
        <v>793</v>
      </c>
      <c r="D81" s="87"/>
      <c r="E81" s="87"/>
      <c r="F81" s="87"/>
      <c r="G81" s="88">
        <f>G91+G95+G82</f>
        <v>61180.8</v>
      </c>
      <c r="H81" s="88">
        <f>H91+H95+H82</f>
        <v>51845.1</v>
      </c>
      <c r="I81" s="88">
        <f>I91+I95+I82</f>
        <v>49376.9</v>
      </c>
      <c r="J81" s="42"/>
      <c r="K81" s="35"/>
      <c r="L81" s="35"/>
      <c r="M81" s="36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</row>
    <row r="82" spans="1:29" ht="16.5" hidden="1">
      <c r="A82" s="124" t="s">
        <v>618</v>
      </c>
      <c r="B82" s="103">
        <v>801</v>
      </c>
      <c r="C82" s="87" t="s">
        <v>793</v>
      </c>
      <c r="D82" s="87" t="s">
        <v>790</v>
      </c>
      <c r="E82" s="87"/>
      <c r="F82" s="87"/>
      <c r="G82" s="88">
        <f>G83+G88</f>
        <v>1418.3</v>
      </c>
      <c r="H82" s="88">
        <f>H83+H88</f>
        <v>0</v>
      </c>
      <c r="I82" s="88">
        <f>I83+I88</f>
        <v>0</v>
      </c>
      <c r="J82" s="42"/>
      <c r="K82" s="35"/>
      <c r="L82" s="35"/>
      <c r="M82" s="36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</row>
    <row r="83" spans="1:29" ht="16.5" hidden="1">
      <c r="A83" s="124" t="s">
        <v>758</v>
      </c>
      <c r="B83" s="103">
        <v>801</v>
      </c>
      <c r="C83" s="87" t="s">
        <v>793</v>
      </c>
      <c r="D83" s="87" t="s">
        <v>790</v>
      </c>
      <c r="E83" s="87" t="s">
        <v>757</v>
      </c>
      <c r="F83" s="87"/>
      <c r="G83" s="88">
        <f>G84+G86</f>
        <v>1418.3</v>
      </c>
      <c r="H83" s="88">
        <f>H84+H86</f>
        <v>0</v>
      </c>
      <c r="I83" s="88">
        <f>I84+I86</f>
        <v>0</v>
      </c>
      <c r="J83" s="42"/>
      <c r="K83" s="35"/>
      <c r="L83" s="35"/>
      <c r="M83" s="36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</row>
    <row r="84" spans="1:29" ht="18.75" customHeight="1" hidden="1">
      <c r="A84" s="124" t="s">
        <v>749</v>
      </c>
      <c r="B84" s="103">
        <v>801</v>
      </c>
      <c r="C84" s="87" t="s">
        <v>793</v>
      </c>
      <c r="D84" s="87" t="s">
        <v>790</v>
      </c>
      <c r="E84" s="87" t="s">
        <v>759</v>
      </c>
      <c r="F84" s="87"/>
      <c r="G84" s="88">
        <f>G85</f>
        <v>1418.3</v>
      </c>
      <c r="H84" s="88">
        <f>H85</f>
        <v>0</v>
      </c>
      <c r="I84" s="88">
        <f>I85</f>
        <v>0</v>
      </c>
      <c r="J84" s="42"/>
      <c r="K84" s="35"/>
      <c r="L84" s="35"/>
      <c r="M84" s="36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</row>
    <row r="85" spans="1:29" ht="16.5" hidden="1">
      <c r="A85" s="125" t="s">
        <v>836</v>
      </c>
      <c r="B85" s="103">
        <v>801</v>
      </c>
      <c r="C85" s="87" t="s">
        <v>793</v>
      </c>
      <c r="D85" s="87" t="s">
        <v>790</v>
      </c>
      <c r="E85" s="87" t="s">
        <v>759</v>
      </c>
      <c r="F85" s="87" t="s">
        <v>545</v>
      </c>
      <c r="G85" s="88">
        <v>1418.3</v>
      </c>
      <c r="H85" s="88"/>
      <c r="I85" s="88"/>
      <c r="J85" s="42"/>
      <c r="K85" s="35"/>
      <c r="L85" s="35"/>
      <c r="M85" s="36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</row>
    <row r="86" spans="1:29" ht="33" hidden="1">
      <c r="A86" s="125" t="s">
        <v>568</v>
      </c>
      <c r="B86" s="103">
        <v>801</v>
      </c>
      <c r="C86" s="87" t="s">
        <v>793</v>
      </c>
      <c r="D86" s="87" t="s">
        <v>790</v>
      </c>
      <c r="E86" s="87" t="s">
        <v>567</v>
      </c>
      <c r="F86" s="87"/>
      <c r="G86" s="88">
        <f>SUM(G87)</f>
        <v>0</v>
      </c>
      <c r="H86" s="88">
        <f>SUM(H87)</f>
        <v>0</v>
      </c>
      <c r="I86" s="88">
        <f>SUM(I87)</f>
        <v>0</v>
      </c>
      <c r="J86" s="42"/>
      <c r="K86" s="35"/>
      <c r="L86" s="35"/>
      <c r="M86" s="36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</row>
    <row r="87" spans="1:29" ht="16.5" hidden="1">
      <c r="A87" s="125" t="s">
        <v>836</v>
      </c>
      <c r="B87" s="103">
        <v>801</v>
      </c>
      <c r="C87" s="87" t="s">
        <v>793</v>
      </c>
      <c r="D87" s="87" t="s">
        <v>790</v>
      </c>
      <c r="E87" s="87" t="s">
        <v>567</v>
      </c>
      <c r="F87" s="87" t="s">
        <v>545</v>
      </c>
      <c r="G87" s="88"/>
      <c r="H87" s="88"/>
      <c r="I87" s="88"/>
      <c r="J87" s="42"/>
      <c r="K87" s="35"/>
      <c r="L87" s="35"/>
      <c r="M87" s="36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</row>
    <row r="88" spans="1:29" ht="16.5" hidden="1">
      <c r="A88" s="125" t="s">
        <v>277</v>
      </c>
      <c r="B88" s="103">
        <v>801</v>
      </c>
      <c r="C88" s="87" t="s">
        <v>793</v>
      </c>
      <c r="D88" s="87" t="s">
        <v>790</v>
      </c>
      <c r="E88" s="87" t="s">
        <v>381</v>
      </c>
      <c r="F88" s="87"/>
      <c r="G88" s="88">
        <f aca="true" t="shared" si="6" ref="G88:I89">SUM(G89)</f>
        <v>0</v>
      </c>
      <c r="H88" s="88">
        <f t="shared" si="6"/>
        <v>0</v>
      </c>
      <c r="I88" s="88">
        <f t="shared" si="6"/>
        <v>0</v>
      </c>
      <c r="J88" s="42"/>
      <c r="K88" s="35"/>
      <c r="L88" s="35"/>
      <c r="M88" s="36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</row>
    <row r="89" spans="1:29" ht="49.5" hidden="1">
      <c r="A89" s="125" t="s">
        <v>569</v>
      </c>
      <c r="B89" s="103">
        <v>801</v>
      </c>
      <c r="C89" s="87" t="s">
        <v>793</v>
      </c>
      <c r="D89" s="87" t="s">
        <v>790</v>
      </c>
      <c r="E89" s="87" t="s">
        <v>572</v>
      </c>
      <c r="F89" s="87"/>
      <c r="G89" s="88">
        <f t="shared" si="6"/>
        <v>0</v>
      </c>
      <c r="H89" s="88">
        <f t="shared" si="6"/>
        <v>0</v>
      </c>
      <c r="I89" s="88">
        <f t="shared" si="6"/>
        <v>0</v>
      </c>
      <c r="J89" s="42"/>
      <c r="K89" s="35"/>
      <c r="L89" s="35"/>
      <c r="M89" s="36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</row>
    <row r="90" spans="1:29" ht="16.5" hidden="1">
      <c r="A90" s="125" t="s">
        <v>836</v>
      </c>
      <c r="B90" s="103">
        <v>801</v>
      </c>
      <c r="C90" s="87" t="s">
        <v>793</v>
      </c>
      <c r="D90" s="87" t="s">
        <v>790</v>
      </c>
      <c r="E90" s="87" t="s">
        <v>572</v>
      </c>
      <c r="F90" s="87" t="s">
        <v>545</v>
      </c>
      <c r="G90" s="88"/>
      <c r="H90" s="88"/>
      <c r="I90" s="88"/>
      <c r="J90" s="42"/>
      <c r="K90" s="35"/>
      <c r="L90" s="35"/>
      <c r="M90" s="36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</row>
    <row r="91" spans="1:29" ht="21" customHeight="1">
      <c r="A91" s="131" t="s">
        <v>619</v>
      </c>
      <c r="B91" s="103">
        <v>801</v>
      </c>
      <c r="C91" s="87" t="s">
        <v>793</v>
      </c>
      <c r="D91" s="87" t="s">
        <v>471</v>
      </c>
      <c r="E91" s="87"/>
      <c r="F91" s="87"/>
      <c r="G91" s="88">
        <f>SUM(G92)</f>
        <v>45290</v>
      </c>
      <c r="H91" s="88">
        <f aca="true" t="shared" si="7" ref="H91:I93">SUM(H92)</f>
        <v>33992.6</v>
      </c>
      <c r="I91" s="88">
        <f t="shared" si="7"/>
        <v>34376.9</v>
      </c>
      <c r="J91" s="42"/>
      <c r="K91" s="35"/>
      <c r="L91" s="35"/>
      <c r="M91" s="36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</row>
    <row r="92" spans="1:29" ht="20.25" customHeight="1">
      <c r="A92" s="131" t="s">
        <v>750</v>
      </c>
      <c r="B92" s="103">
        <v>801</v>
      </c>
      <c r="C92" s="87" t="s">
        <v>793</v>
      </c>
      <c r="D92" s="87" t="s">
        <v>471</v>
      </c>
      <c r="E92" s="87" t="s">
        <v>182</v>
      </c>
      <c r="F92" s="87"/>
      <c r="G92" s="88">
        <f>SUM(G93)</f>
        <v>45290</v>
      </c>
      <c r="H92" s="88">
        <f t="shared" si="7"/>
        <v>33992.6</v>
      </c>
      <c r="I92" s="88">
        <f t="shared" si="7"/>
        <v>34376.9</v>
      </c>
      <c r="J92" s="42"/>
      <c r="K92" s="35"/>
      <c r="L92" s="35"/>
      <c r="M92" s="36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</row>
    <row r="93" spans="1:29" ht="18.75" customHeight="1">
      <c r="A93" s="131" t="s">
        <v>389</v>
      </c>
      <c r="B93" s="103">
        <v>801</v>
      </c>
      <c r="C93" s="87" t="s">
        <v>793</v>
      </c>
      <c r="D93" s="87" t="s">
        <v>471</v>
      </c>
      <c r="E93" s="87" t="s">
        <v>183</v>
      </c>
      <c r="F93" s="87"/>
      <c r="G93" s="88">
        <f>SUM(G94)</f>
        <v>45290</v>
      </c>
      <c r="H93" s="88">
        <f t="shared" si="7"/>
        <v>33992.6</v>
      </c>
      <c r="I93" s="88">
        <f t="shared" si="7"/>
        <v>34376.9</v>
      </c>
      <c r="J93" s="42"/>
      <c r="K93" s="35"/>
      <c r="L93" s="35"/>
      <c r="M93" s="36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</row>
    <row r="94" spans="1:29" ht="20.25" customHeight="1">
      <c r="A94" s="125" t="s">
        <v>140</v>
      </c>
      <c r="B94" s="103">
        <v>801</v>
      </c>
      <c r="C94" s="87" t="s">
        <v>793</v>
      </c>
      <c r="D94" s="87" t="s">
        <v>471</v>
      </c>
      <c r="E94" s="87" t="s">
        <v>183</v>
      </c>
      <c r="F94" s="87" t="s">
        <v>545</v>
      </c>
      <c r="G94" s="88">
        <f>41790+3500</f>
        <v>45290</v>
      </c>
      <c r="H94" s="88">
        <v>33992.6</v>
      </c>
      <c r="I94" s="88">
        <v>34376.9</v>
      </c>
      <c r="J94" s="42"/>
      <c r="K94" s="35"/>
      <c r="L94" s="35"/>
      <c r="M94" s="36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</row>
    <row r="95" spans="1:29" ht="18.75" customHeight="1">
      <c r="A95" s="131" t="s">
        <v>419</v>
      </c>
      <c r="B95" s="103">
        <v>801</v>
      </c>
      <c r="C95" s="87" t="s">
        <v>793</v>
      </c>
      <c r="D95" s="87" t="s">
        <v>509</v>
      </c>
      <c r="E95" s="87"/>
      <c r="F95" s="87"/>
      <c r="G95" s="88">
        <f>SUM(G97)</f>
        <v>14472.5</v>
      </c>
      <c r="H95" s="88">
        <f>SUM(H97)</f>
        <v>17852.5</v>
      </c>
      <c r="I95" s="88">
        <f>SUM(I97)</f>
        <v>15000</v>
      </c>
      <c r="J95" s="42"/>
      <c r="K95" s="35"/>
      <c r="L95" s="35"/>
      <c r="M95" s="36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</row>
    <row r="96" spans="1:29" ht="18.75" customHeight="1">
      <c r="A96" s="140" t="s">
        <v>349</v>
      </c>
      <c r="B96" s="103">
        <v>801</v>
      </c>
      <c r="C96" s="87" t="s">
        <v>793</v>
      </c>
      <c r="D96" s="87" t="s">
        <v>509</v>
      </c>
      <c r="E96" s="87" t="s">
        <v>343</v>
      </c>
      <c r="F96" s="87"/>
      <c r="G96" s="88">
        <f>G97</f>
        <v>14472.5</v>
      </c>
      <c r="H96" s="88">
        <f>H97</f>
        <v>17852.5</v>
      </c>
      <c r="I96" s="88">
        <f>I97</f>
        <v>15000</v>
      </c>
      <c r="J96" s="42"/>
      <c r="K96" s="35"/>
      <c r="L96" s="35"/>
      <c r="M96" s="36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</row>
    <row r="97" spans="1:29" ht="19.5" customHeight="1">
      <c r="A97" s="140" t="s">
        <v>380</v>
      </c>
      <c r="B97" s="103">
        <v>801</v>
      </c>
      <c r="C97" s="87" t="s">
        <v>793</v>
      </c>
      <c r="D97" s="87" t="s">
        <v>509</v>
      </c>
      <c r="E97" s="87" t="s">
        <v>344</v>
      </c>
      <c r="F97" s="87"/>
      <c r="G97" s="88">
        <f>G98+G100</f>
        <v>14472.5</v>
      </c>
      <c r="H97" s="88">
        <f>H98+H100</f>
        <v>17852.5</v>
      </c>
      <c r="I97" s="88">
        <f>I98+I100</f>
        <v>15000</v>
      </c>
      <c r="J97" s="42"/>
      <c r="K97" s="35"/>
      <c r="L97" s="35"/>
      <c r="M97" s="36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</row>
    <row r="98" spans="1:29" ht="36" customHeight="1">
      <c r="A98" s="125" t="s">
        <v>320</v>
      </c>
      <c r="B98" s="103">
        <v>801</v>
      </c>
      <c r="C98" s="87" t="s">
        <v>793</v>
      </c>
      <c r="D98" s="87" t="s">
        <v>509</v>
      </c>
      <c r="E98" s="87" t="s">
        <v>358</v>
      </c>
      <c r="F98" s="87"/>
      <c r="G98" s="88">
        <f>SUM(G99)</f>
        <v>2472.5</v>
      </c>
      <c r="H98" s="88">
        <f>SUM(H99)</f>
        <v>2852.5</v>
      </c>
      <c r="I98" s="88">
        <f>SUM(I99)</f>
        <v>0</v>
      </c>
      <c r="J98" s="42"/>
      <c r="K98" s="35"/>
      <c r="L98" s="35"/>
      <c r="M98" s="36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</row>
    <row r="99" spans="1:29" ht="18.75" customHeight="1">
      <c r="A99" s="131" t="s">
        <v>625</v>
      </c>
      <c r="B99" s="103">
        <v>801</v>
      </c>
      <c r="C99" s="87" t="s">
        <v>793</v>
      </c>
      <c r="D99" s="87" t="s">
        <v>509</v>
      </c>
      <c r="E99" s="87" t="s">
        <v>358</v>
      </c>
      <c r="F99" s="87" t="s">
        <v>238</v>
      </c>
      <c r="G99" s="88">
        <v>2472.5</v>
      </c>
      <c r="H99" s="88">
        <v>2852.5</v>
      </c>
      <c r="I99" s="88"/>
      <c r="J99" s="42"/>
      <c r="K99" s="35"/>
      <c r="L99" s="35"/>
      <c r="M99" s="36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</row>
    <row r="100" spans="1:13" s="35" customFormat="1" ht="19.5" customHeight="1">
      <c r="A100" s="131" t="s">
        <v>356</v>
      </c>
      <c r="B100" s="103">
        <v>801</v>
      </c>
      <c r="C100" s="87" t="s">
        <v>793</v>
      </c>
      <c r="D100" s="87" t="s">
        <v>509</v>
      </c>
      <c r="E100" s="103" t="s">
        <v>362</v>
      </c>
      <c r="F100" s="87"/>
      <c r="G100" s="88">
        <f>G101</f>
        <v>12000</v>
      </c>
      <c r="H100" s="88">
        <f>H101</f>
        <v>15000</v>
      </c>
      <c r="I100" s="88">
        <f>I101</f>
        <v>15000</v>
      </c>
      <c r="J100" s="42"/>
      <c r="M100" s="36"/>
    </row>
    <row r="101" spans="1:13" s="35" customFormat="1" ht="18.75" customHeight="1">
      <c r="A101" s="131" t="s">
        <v>693</v>
      </c>
      <c r="B101" s="103">
        <v>801</v>
      </c>
      <c r="C101" s="87" t="s">
        <v>793</v>
      </c>
      <c r="D101" s="87" t="s">
        <v>509</v>
      </c>
      <c r="E101" s="103" t="s">
        <v>362</v>
      </c>
      <c r="F101" s="87" t="s">
        <v>238</v>
      </c>
      <c r="G101" s="88">
        <v>12000</v>
      </c>
      <c r="H101" s="88">
        <v>15000</v>
      </c>
      <c r="I101" s="88">
        <v>15000</v>
      </c>
      <c r="J101" s="42"/>
      <c r="M101" s="36"/>
    </row>
    <row r="102" spans="1:29" ht="19.5" customHeight="1">
      <c r="A102" s="131" t="s">
        <v>412</v>
      </c>
      <c r="B102" s="103">
        <v>801</v>
      </c>
      <c r="C102" s="87" t="s">
        <v>508</v>
      </c>
      <c r="D102" s="87"/>
      <c r="E102" s="87"/>
      <c r="F102" s="87"/>
      <c r="G102" s="88">
        <f>SUM(G103)</f>
        <v>6385.3</v>
      </c>
      <c r="H102" s="88">
        <f>SUM(H103)</f>
        <v>6815.200000000001</v>
      </c>
      <c r="I102" s="88">
        <f>SUM(I103)</f>
        <v>6955.200000000001</v>
      </c>
      <c r="J102" s="42"/>
      <c r="K102" s="35"/>
      <c r="L102" s="35"/>
      <c r="M102" s="36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</row>
    <row r="103" spans="1:29" ht="20.25" customHeight="1">
      <c r="A103" s="131" t="s">
        <v>231</v>
      </c>
      <c r="B103" s="103">
        <v>801</v>
      </c>
      <c r="C103" s="87" t="s">
        <v>508</v>
      </c>
      <c r="D103" s="87" t="s">
        <v>508</v>
      </c>
      <c r="E103" s="87"/>
      <c r="F103" s="87"/>
      <c r="G103" s="88">
        <f>G104+G111+G115</f>
        <v>6385.3</v>
      </c>
      <c r="H103" s="88">
        <f>H104+H111+H115</f>
        <v>6815.200000000001</v>
      </c>
      <c r="I103" s="88">
        <f>I104+I111+I115</f>
        <v>6955.200000000001</v>
      </c>
      <c r="J103" s="42"/>
      <c r="K103" s="35"/>
      <c r="L103" s="35"/>
      <c r="M103" s="36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</row>
    <row r="104" spans="1:29" ht="18.75" customHeight="1">
      <c r="A104" s="131" t="s">
        <v>646</v>
      </c>
      <c r="B104" s="103">
        <v>801</v>
      </c>
      <c r="C104" s="87" t="s">
        <v>508</v>
      </c>
      <c r="D104" s="87" t="s">
        <v>508</v>
      </c>
      <c r="E104" s="87" t="s">
        <v>366</v>
      </c>
      <c r="F104" s="87"/>
      <c r="G104" s="88">
        <f>SUM(G105,G107,G109)</f>
        <v>5685.3</v>
      </c>
      <c r="H104" s="88">
        <f>SUM(H105,H107,H109)</f>
        <v>5825.200000000001</v>
      </c>
      <c r="I104" s="88">
        <f>SUM(I105,I107,I109)</f>
        <v>5965.200000000001</v>
      </c>
      <c r="J104" s="42"/>
      <c r="K104" s="35"/>
      <c r="L104" s="35"/>
      <c r="M104" s="36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</row>
    <row r="105" spans="1:29" ht="18.75" customHeight="1">
      <c r="A105" s="131" t="s">
        <v>565</v>
      </c>
      <c r="B105" s="103">
        <v>801</v>
      </c>
      <c r="C105" s="87" t="s">
        <v>508</v>
      </c>
      <c r="D105" s="87" t="s">
        <v>508</v>
      </c>
      <c r="E105" s="87" t="s">
        <v>365</v>
      </c>
      <c r="F105" s="87"/>
      <c r="G105" s="88">
        <f>SUM(G106)</f>
        <v>804.5</v>
      </c>
      <c r="H105" s="88">
        <f>SUM(H106)</f>
        <v>844.8</v>
      </c>
      <c r="I105" s="88">
        <f>SUM(I106)</f>
        <v>882.8</v>
      </c>
      <c r="J105" s="42"/>
      <c r="K105" s="35"/>
      <c r="L105" s="35"/>
      <c r="M105" s="36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</row>
    <row r="106" spans="1:29" ht="18.75" customHeight="1">
      <c r="A106" s="131" t="s">
        <v>138</v>
      </c>
      <c r="B106" s="103">
        <v>801</v>
      </c>
      <c r="C106" s="87" t="s">
        <v>508</v>
      </c>
      <c r="D106" s="87" t="s">
        <v>508</v>
      </c>
      <c r="E106" s="87" t="s">
        <v>365</v>
      </c>
      <c r="F106" s="87" t="s">
        <v>536</v>
      </c>
      <c r="G106" s="88">
        <v>804.5</v>
      </c>
      <c r="H106" s="88">
        <v>844.8</v>
      </c>
      <c r="I106" s="88">
        <v>882.8</v>
      </c>
      <c r="J106" s="42"/>
      <c r="K106" s="35"/>
      <c r="L106" s="35"/>
      <c r="M106" s="36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</row>
    <row r="107" spans="1:29" ht="18.75" customHeight="1">
      <c r="A107" s="131" t="s">
        <v>564</v>
      </c>
      <c r="B107" s="103">
        <v>801</v>
      </c>
      <c r="C107" s="87" t="s">
        <v>508</v>
      </c>
      <c r="D107" s="87" t="s">
        <v>508</v>
      </c>
      <c r="E107" s="87" t="s">
        <v>782</v>
      </c>
      <c r="F107" s="87"/>
      <c r="G107" s="88">
        <f>SUM(G108)</f>
        <v>192.8</v>
      </c>
      <c r="H107" s="88">
        <f>SUM(H108)</f>
        <v>192.8</v>
      </c>
      <c r="I107" s="88">
        <f>SUM(I108)</f>
        <v>192.8</v>
      </c>
      <c r="J107" s="42"/>
      <c r="K107" s="35"/>
      <c r="L107" s="35"/>
      <c r="M107" s="36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</row>
    <row r="108" spans="1:29" ht="18.75" customHeight="1">
      <c r="A108" s="131" t="s">
        <v>836</v>
      </c>
      <c r="B108" s="103">
        <v>801</v>
      </c>
      <c r="C108" s="87" t="s">
        <v>508</v>
      </c>
      <c r="D108" s="87" t="s">
        <v>508</v>
      </c>
      <c r="E108" s="87" t="s">
        <v>782</v>
      </c>
      <c r="F108" s="87" t="s">
        <v>545</v>
      </c>
      <c r="G108" s="88">
        <v>192.8</v>
      </c>
      <c r="H108" s="88">
        <v>192.8</v>
      </c>
      <c r="I108" s="88">
        <v>192.8</v>
      </c>
      <c r="J108" s="42"/>
      <c r="K108" s="35"/>
      <c r="L108" s="35"/>
      <c r="M108" s="36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</row>
    <row r="109" spans="1:47" s="47" customFormat="1" ht="18.75" customHeight="1">
      <c r="A109" s="125" t="s">
        <v>540</v>
      </c>
      <c r="B109" s="103">
        <v>801</v>
      </c>
      <c r="C109" s="87" t="s">
        <v>508</v>
      </c>
      <c r="D109" s="87" t="s">
        <v>508</v>
      </c>
      <c r="E109" s="87" t="s">
        <v>781</v>
      </c>
      <c r="F109" s="87"/>
      <c r="G109" s="88">
        <f>SUM(G110)</f>
        <v>4688</v>
      </c>
      <c r="H109" s="88">
        <f>SUM(H110)</f>
        <v>4787.6</v>
      </c>
      <c r="I109" s="88">
        <f>SUM(I110)</f>
        <v>4889.6</v>
      </c>
      <c r="J109" s="42"/>
      <c r="K109" s="35"/>
      <c r="L109" s="35"/>
      <c r="M109" s="36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</row>
    <row r="110" spans="1:142" s="47" customFormat="1" ht="18.75" customHeight="1">
      <c r="A110" s="131" t="s">
        <v>836</v>
      </c>
      <c r="B110" s="103">
        <v>801</v>
      </c>
      <c r="C110" s="87" t="s">
        <v>508</v>
      </c>
      <c r="D110" s="87" t="s">
        <v>508</v>
      </c>
      <c r="E110" s="87" t="s">
        <v>781</v>
      </c>
      <c r="F110" s="87" t="s">
        <v>545</v>
      </c>
      <c r="G110" s="88">
        <v>4688</v>
      </c>
      <c r="H110" s="88">
        <v>4787.6</v>
      </c>
      <c r="I110" s="88">
        <v>4889.6</v>
      </c>
      <c r="J110" s="42"/>
      <c r="K110" s="35"/>
      <c r="L110" s="35"/>
      <c r="M110" s="36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</row>
    <row r="111" spans="1:142" ht="18.75" customHeight="1" hidden="1">
      <c r="A111" s="125" t="s">
        <v>209</v>
      </c>
      <c r="B111" s="103">
        <v>801</v>
      </c>
      <c r="C111" s="87" t="s">
        <v>508</v>
      </c>
      <c r="D111" s="87" t="s">
        <v>508</v>
      </c>
      <c r="E111" s="87" t="s">
        <v>473</v>
      </c>
      <c r="F111" s="87"/>
      <c r="G111" s="88">
        <f aca="true" t="shared" si="8" ref="G111:I112">G112</f>
        <v>0</v>
      </c>
      <c r="H111" s="88">
        <f t="shared" si="8"/>
        <v>0</v>
      </c>
      <c r="I111" s="88">
        <f t="shared" si="8"/>
        <v>0</v>
      </c>
      <c r="J111" s="42"/>
      <c r="K111" s="35"/>
      <c r="L111" s="35"/>
      <c r="M111" s="36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</row>
    <row r="112" spans="1:142" ht="18.75" customHeight="1" hidden="1">
      <c r="A112" s="140" t="s">
        <v>301</v>
      </c>
      <c r="B112" s="103">
        <v>801</v>
      </c>
      <c r="C112" s="87" t="s">
        <v>508</v>
      </c>
      <c r="D112" s="87" t="s">
        <v>508</v>
      </c>
      <c r="E112" s="87" t="s">
        <v>516</v>
      </c>
      <c r="F112" s="87"/>
      <c r="G112" s="88">
        <f t="shared" si="8"/>
        <v>0</v>
      </c>
      <c r="H112" s="88">
        <f t="shared" si="8"/>
        <v>0</v>
      </c>
      <c r="I112" s="88">
        <f t="shared" si="8"/>
        <v>0</v>
      </c>
      <c r="J112" s="42"/>
      <c r="K112" s="35"/>
      <c r="L112" s="35"/>
      <c r="M112" s="36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</row>
    <row r="113" spans="1:142" ht="18.75" customHeight="1" hidden="1">
      <c r="A113" s="131" t="s">
        <v>537</v>
      </c>
      <c r="B113" s="103">
        <v>801</v>
      </c>
      <c r="C113" s="87" t="s">
        <v>508</v>
      </c>
      <c r="D113" s="87" t="s">
        <v>508</v>
      </c>
      <c r="E113" s="87" t="s">
        <v>516</v>
      </c>
      <c r="F113" s="87" t="s">
        <v>536</v>
      </c>
      <c r="G113" s="88"/>
      <c r="H113" s="88"/>
      <c r="I113" s="88"/>
      <c r="J113" s="42"/>
      <c r="K113" s="35"/>
      <c r="L113" s="35"/>
      <c r="M113" s="36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</row>
    <row r="114" spans="1:142" ht="18.75" customHeight="1">
      <c r="A114" s="140" t="s">
        <v>349</v>
      </c>
      <c r="B114" s="103">
        <v>801</v>
      </c>
      <c r="C114" s="87" t="s">
        <v>508</v>
      </c>
      <c r="D114" s="87" t="s">
        <v>508</v>
      </c>
      <c r="E114" s="87" t="s">
        <v>343</v>
      </c>
      <c r="F114" s="87"/>
      <c r="G114" s="88">
        <f>G115</f>
        <v>700</v>
      </c>
      <c r="H114" s="88">
        <f>H115</f>
        <v>990</v>
      </c>
      <c r="I114" s="88">
        <f>I115</f>
        <v>990</v>
      </c>
      <c r="J114" s="42"/>
      <c r="K114" s="35"/>
      <c r="L114" s="35"/>
      <c r="M114" s="36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</row>
    <row r="115" spans="1:142" ht="18.75" customHeight="1">
      <c r="A115" s="140" t="s">
        <v>380</v>
      </c>
      <c r="B115" s="103">
        <v>801</v>
      </c>
      <c r="C115" s="87" t="s">
        <v>508</v>
      </c>
      <c r="D115" s="87" t="s">
        <v>508</v>
      </c>
      <c r="E115" s="87" t="s">
        <v>344</v>
      </c>
      <c r="F115" s="87"/>
      <c r="G115" s="88">
        <f aca="true" t="shared" si="9" ref="G115:I116">SUM(G116)</f>
        <v>700</v>
      </c>
      <c r="H115" s="88">
        <f t="shared" si="9"/>
        <v>990</v>
      </c>
      <c r="I115" s="88">
        <f t="shared" si="9"/>
        <v>990</v>
      </c>
      <c r="J115" s="42"/>
      <c r="K115" s="35"/>
      <c r="L115" s="35"/>
      <c r="M115" s="36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</row>
    <row r="116" spans="1:142" ht="20.25" customHeight="1">
      <c r="A116" s="131" t="s">
        <v>199</v>
      </c>
      <c r="B116" s="103">
        <v>801</v>
      </c>
      <c r="C116" s="87" t="s">
        <v>508</v>
      </c>
      <c r="D116" s="87" t="s">
        <v>508</v>
      </c>
      <c r="E116" s="87" t="s">
        <v>354</v>
      </c>
      <c r="F116" s="87"/>
      <c r="G116" s="88">
        <f t="shared" si="9"/>
        <v>700</v>
      </c>
      <c r="H116" s="88">
        <f t="shared" si="9"/>
        <v>990</v>
      </c>
      <c r="I116" s="88">
        <f t="shared" si="9"/>
        <v>990</v>
      </c>
      <c r="J116" s="42"/>
      <c r="K116" s="35"/>
      <c r="L116" s="35"/>
      <c r="M116" s="36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</row>
    <row r="117" spans="1:142" s="48" customFormat="1" ht="21" customHeight="1">
      <c r="A117" s="124" t="s">
        <v>346</v>
      </c>
      <c r="B117" s="103">
        <v>801</v>
      </c>
      <c r="C117" s="87" t="s">
        <v>508</v>
      </c>
      <c r="D117" s="87" t="s">
        <v>508</v>
      </c>
      <c r="E117" s="87" t="s">
        <v>354</v>
      </c>
      <c r="F117" s="87" t="s">
        <v>197</v>
      </c>
      <c r="G117" s="88">
        <v>700</v>
      </c>
      <c r="H117" s="88">
        <v>990</v>
      </c>
      <c r="I117" s="88">
        <v>990</v>
      </c>
      <c r="J117" s="42"/>
      <c r="K117" s="35"/>
      <c r="L117" s="35"/>
      <c r="M117" s="36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</row>
    <row r="118" spans="1:142" s="49" customFormat="1" ht="18.75" customHeight="1" hidden="1">
      <c r="A118" s="131" t="s">
        <v>214</v>
      </c>
      <c r="B118" s="103">
        <v>801</v>
      </c>
      <c r="C118" s="87" t="s">
        <v>43</v>
      </c>
      <c r="D118" s="87"/>
      <c r="E118" s="87"/>
      <c r="F118" s="87"/>
      <c r="G118" s="88">
        <f>G119+G123</f>
        <v>75</v>
      </c>
      <c r="H118" s="88">
        <f>H119+H123</f>
        <v>0</v>
      </c>
      <c r="I118" s="88">
        <f>I119+I123</f>
        <v>0</v>
      </c>
      <c r="J118" s="42"/>
      <c r="K118" s="35"/>
      <c r="L118" s="35"/>
      <c r="M118" s="36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</row>
    <row r="119" spans="1:13" s="35" customFormat="1" ht="18.75" customHeight="1" hidden="1">
      <c r="A119" s="131" t="s">
        <v>232</v>
      </c>
      <c r="B119" s="103">
        <v>801</v>
      </c>
      <c r="C119" s="87" t="s">
        <v>43</v>
      </c>
      <c r="D119" s="87" t="s">
        <v>790</v>
      </c>
      <c r="E119" s="106"/>
      <c r="F119" s="87"/>
      <c r="G119" s="88">
        <f>G120</f>
        <v>0</v>
      </c>
      <c r="H119" s="88">
        <f aca="true" t="shared" si="10" ref="H119:I121">H120</f>
        <v>0</v>
      </c>
      <c r="I119" s="88">
        <f t="shared" si="10"/>
        <v>0</v>
      </c>
      <c r="J119" s="42"/>
      <c r="M119" s="36"/>
    </row>
    <row r="120" spans="1:13" s="35" customFormat="1" ht="18.75" customHeight="1" hidden="1">
      <c r="A120" s="125" t="s">
        <v>772</v>
      </c>
      <c r="B120" s="103">
        <v>801</v>
      </c>
      <c r="C120" s="87" t="s">
        <v>43</v>
      </c>
      <c r="D120" s="87" t="s">
        <v>790</v>
      </c>
      <c r="E120" s="87" t="s">
        <v>162</v>
      </c>
      <c r="F120" s="87"/>
      <c r="G120" s="88">
        <f>G121</f>
        <v>0</v>
      </c>
      <c r="H120" s="88">
        <f t="shared" si="10"/>
        <v>0</v>
      </c>
      <c r="I120" s="88">
        <f t="shared" si="10"/>
        <v>0</v>
      </c>
      <c r="J120" s="42"/>
      <c r="M120" s="36"/>
    </row>
    <row r="121" spans="1:13" s="35" customFormat="1" ht="18.75" customHeight="1" hidden="1">
      <c r="A121" s="132" t="s">
        <v>163</v>
      </c>
      <c r="B121" s="103">
        <v>801</v>
      </c>
      <c r="C121" s="87" t="s">
        <v>43</v>
      </c>
      <c r="D121" s="87" t="s">
        <v>790</v>
      </c>
      <c r="E121" s="87" t="s">
        <v>164</v>
      </c>
      <c r="F121" s="87"/>
      <c r="G121" s="88">
        <f>G122</f>
        <v>0</v>
      </c>
      <c r="H121" s="88">
        <f t="shared" si="10"/>
        <v>0</v>
      </c>
      <c r="I121" s="88">
        <f t="shared" si="10"/>
        <v>0</v>
      </c>
      <c r="J121" s="42"/>
      <c r="M121" s="36"/>
    </row>
    <row r="122" spans="1:13" s="35" customFormat="1" ht="18.75" customHeight="1" hidden="1">
      <c r="A122" s="132" t="s">
        <v>535</v>
      </c>
      <c r="B122" s="103">
        <v>801</v>
      </c>
      <c r="C122" s="87" t="s">
        <v>43</v>
      </c>
      <c r="D122" s="87" t="s">
        <v>790</v>
      </c>
      <c r="E122" s="87" t="s">
        <v>164</v>
      </c>
      <c r="F122" s="87" t="s">
        <v>284</v>
      </c>
      <c r="G122" s="88"/>
      <c r="H122" s="88"/>
      <c r="I122" s="88"/>
      <c r="J122" s="42"/>
      <c r="M122" s="36"/>
    </row>
    <row r="123" spans="1:13" s="35" customFormat="1" ht="18.75" customHeight="1" hidden="1">
      <c r="A123" s="125" t="s">
        <v>663</v>
      </c>
      <c r="B123" s="103">
        <v>801</v>
      </c>
      <c r="C123" s="87" t="s">
        <v>43</v>
      </c>
      <c r="D123" s="87" t="s">
        <v>793</v>
      </c>
      <c r="E123" s="87"/>
      <c r="F123" s="87"/>
      <c r="G123" s="88">
        <f aca="true" t="shared" si="11" ref="G123:I126">G124</f>
        <v>75</v>
      </c>
      <c r="H123" s="88">
        <f t="shared" si="11"/>
        <v>0</v>
      </c>
      <c r="I123" s="88">
        <f t="shared" si="11"/>
        <v>0</v>
      </c>
      <c r="J123" s="42"/>
      <c r="M123" s="36"/>
    </row>
    <row r="124" spans="1:13" s="35" customFormat="1" ht="18.75" customHeight="1" hidden="1">
      <c r="A124" s="140" t="s">
        <v>349</v>
      </c>
      <c r="B124" s="103">
        <v>801</v>
      </c>
      <c r="C124" s="87" t="s">
        <v>43</v>
      </c>
      <c r="D124" s="87" t="s">
        <v>793</v>
      </c>
      <c r="E124" s="87" t="s">
        <v>343</v>
      </c>
      <c r="F124" s="87"/>
      <c r="G124" s="88">
        <f t="shared" si="11"/>
        <v>75</v>
      </c>
      <c r="H124" s="88">
        <f t="shared" si="11"/>
        <v>0</v>
      </c>
      <c r="I124" s="88">
        <f t="shared" si="11"/>
        <v>0</v>
      </c>
      <c r="J124" s="42"/>
      <c r="M124" s="36"/>
    </row>
    <row r="125" spans="1:13" s="35" customFormat="1" ht="18.75" customHeight="1" hidden="1">
      <c r="A125" s="140" t="s">
        <v>380</v>
      </c>
      <c r="B125" s="103">
        <v>801</v>
      </c>
      <c r="C125" s="87" t="s">
        <v>43</v>
      </c>
      <c r="D125" s="87" t="s">
        <v>793</v>
      </c>
      <c r="E125" s="87" t="s">
        <v>344</v>
      </c>
      <c r="F125" s="87"/>
      <c r="G125" s="88">
        <f t="shared" si="11"/>
        <v>75</v>
      </c>
      <c r="H125" s="88">
        <f t="shared" si="11"/>
        <v>0</v>
      </c>
      <c r="I125" s="88">
        <f t="shared" si="11"/>
        <v>0</v>
      </c>
      <c r="J125" s="42"/>
      <c r="M125" s="36"/>
    </row>
    <row r="126" spans="1:13" s="35" customFormat="1" ht="36.75" customHeight="1" hidden="1">
      <c r="A126" s="124" t="s">
        <v>361</v>
      </c>
      <c r="B126" s="103">
        <v>801</v>
      </c>
      <c r="C126" s="87" t="s">
        <v>43</v>
      </c>
      <c r="D126" s="87" t="s">
        <v>793</v>
      </c>
      <c r="E126" s="87" t="s">
        <v>357</v>
      </c>
      <c r="F126" s="87"/>
      <c r="G126" s="88">
        <f t="shared" si="11"/>
        <v>75</v>
      </c>
      <c r="H126" s="88">
        <f t="shared" si="11"/>
        <v>0</v>
      </c>
      <c r="I126" s="88">
        <f t="shared" si="11"/>
        <v>0</v>
      </c>
      <c r="J126" s="42"/>
      <c r="M126" s="36"/>
    </row>
    <row r="127" spans="1:13" s="35" customFormat="1" ht="18.75" customHeight="1" hidden="1">
      <c r="A127" s="124" t="s">
        <v>346</v>
      </c>
      <c r="B127" s="103">
        <v>801</v>
      </c>
      <c r="C127" s="87" t="s">
        <v>43</v>
      </c>
      <c r="D127" s="87" t="s">
        <v>793</v>
      </c>
      <c r="E127" s="87" t="s">
        <v>357</v>
      </c>
      <c r="F127" s="87" t="s">
        <v>197</v>
      </c>
      <c r="G127" s="88">
        <v>75</v>
      </c>
      <c r="H127" s="88"/>
      <c r="I127" s="88"/>
      <c r="J127" s="42"/>
      <c r="M127" s="36"/>
    </row>
    <row r="128" spans="1:29" ht="17.25" customHeight="1">
      <c r="A128" s="125" t="s">
        <v>413</v>
      </c>
      <c r="B128" s="103">
        <v>801</v>
      </c>
      <c r="C128" s="87" t="s">
        <v>471</v>
      </c>
      <c r="D128" s="87"/>
      <c r="E128" s="87"/>
      <c r="F128" s="87"/>
      <c r="G128" s="88">
        <f>SUM(G129,G133)</f>
        <v>19157.2</v>
      </c>
      <c r="H128" s="88">
        <f>SUM(H129,H133)</f>
        <v>18833.6</v>
      </c>
      <c r="I128" s="88">
        <f>SUM(I129,I133)</f>
        <v>18833.6</v>
      </c>
      <c r="J128" s="42"/>
      <c r="K128" s="35"/>
      <c r="L128" s="35"/>
      <c r="M128" s="36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</row>
    <row r="129" spans="1:29" ht="18" customHeight="1">
      <c r="A129" s="131" t="s">
        <v>684</v>
      </c>
      <c r="B129" s="103">
        <v>801</v>
      </c>
      <c r="C129" s="87" t="s">
        <v>471</v>
      </c>
      <c r="D129" s="87" t="s">
        <v>790</v>
      </c>
      <c r="E129" s="87"/>
      <c r="F129" s="87"/>
      <c r="G129" s="88">
        <f>SUM(G130)</f>
        <v>6423.6</v>
      </c>
      <c r="H129" s="88">
        <f aca="true" t="shared" si="12" ref="H129:I131">SUM(H130)</f>
        <v>6500</v>
      </c>
      <c r="I129" s="88">
        <f t="shared" si="12"/>
        <v>6500</v>
      </c>
      <c r="J129" s="42"/>
      <c r="K129" s="35"/>
      <c r="L129" s="35"/>
      <c r="M129" s="36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</row>
    <row r="130" spans="1:29" ht="19.5" customHeight="1">
      <c r="A130" s="125" t="s">
        <v>371</v>
      </c>
      <c r="B130" s="103">
        <v>801</v>
      </c>
      <c r="C130" s="87" t="s">
        <v>471</v>
      </c>
      <c r="D130" s="87" t="s">
        <v>790</v>
      </c>
      <c r="E130" s="87" t="s">
        <v>369</v>
      </c>
      <c r="F130" s="87"/>
      <c r="G130" s="88">
        <f>SUM(G131)</f>
        <v>6423.6</v>
      </c>
      <c r="H130" s="88">
        <f t="shared" si="12"/>
        <v>6500</v>
      </c>
      <c r="I130" s="88">
        <f t="shared" si="12"/>
        <v>6500</v>
      </c>
      <c r="J130" s="42"/>
      <c r="K130" s="35"/>
      <c r="L130" s="35"/>
      <c r="M130" s="36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</row>
    <row r="131" spans="1:29" ht="36" customHeight="1">
      <c r="A131" s="125" t="s">
        <v>370</v>
      </c>
      <c r="B131" s="103">
        <v>801</v>
      </c>
      <c r="C131" s="87" t="s">
        <v>471</v>
      </c>
      <c r="D131" s="87" t="s">
        <v>790</v>
      </c>
      <c r="E131" s="87" t="s">
        <v>372</v>
      </c>
      <c r="F131" s="87"/>
      <c r="G131" s="88">
        <f>SUM(G132)</f>
        <v>6423.6</v>
      </c>
      <c r="H131" s="88">
        <f t="shared" si="12"/>
        <v>6500</v>
      </c>
      <c r="I131" s="88">
        <f t="shared" si="12"/>
        <v>6500</v>
      </c>
      <c r="J131" s="42"/>
      <c r="K131" s="35"/>
      <c r="L131" s="35"/>
      <c r="M131" s="36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</row>
    <row r="132" spans="1:29" ht="16.5">
      <c r="A132" s="132" t="s">
        <v>694</v>
      </c>
      <c r="B132" s="103">
        <v>801</v>
      </c>
      <c r="C132" s="87" t="s">
        <v>471</v>
      </c>
      <c r="D132" s="87" t="s">
        <v>790</v>
      </c>
      <c r="E132" s="87" t="s">
        <v>372</v>
      </c>
      <c r="F132" s="87" t="s">
        <v>51</v>
      </c>
      <c r="G132" s="88">
        <v>6423.6</v>
      </c>
      <c r="H132" s="88">
        <v>6500</v>
      </c>
      <c r="I132" s="88">
        <v>6500</v>
      </c>
      <c r="J132" s="42"/>
      <c r="K132" s="35"/>
      <c r="L132" s="35"/>
      <c r="M132" s="36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</row>
    <row r="133" spans="1:29" ht="16.5">
      <c r="A133" s="131" t="s">
        <v>373</v>
      </c>
      <c r="B133" s="103">
        <v>801</v>
      </c>
      <c r="C133" s="87" t="s">
        <v>471</v>
      </c>
      <c r="D133" s="87" t="s">
        <v>792</v>
      </c>
      <c r="E133" s="87"/>
      <c r="F133" s="87"/>
      <c r="G133" s="88">
        <f>SUM(G134,G140,G143)</f>
        <v>12733.6</v>
      </c>
      <c r="H133" s="88">
        <f>SUM(H134,H140,H143)</f>
        <v>12333.6</v>
      </c>
      <c r="I133" s="88">
        <f>SUM(I134,I140,I143)</f>
        <v>12333.6</v>
      </c>
      <c r="J133" s="42"/>
      <c r="K133" s="35"/>
      <c r="L133" s="35"/>
      <c r="M133" s="36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</row>
    <row r="134" spans="1:29" ht="16.5">
      <c r="A134" s="132" t="s">
        <v>688</v>
      </c>
      <c r="B134" s="103">
        <v>801</v>
      </c>
      <c r="C134" s="87" t="s">
        <v>471</v>
      </c>
      <c r="D134" s="87" t="s">
        <v>792</v>
      </c>
      <c r="E134" s="87" t="s">
        <v>378</v>
      </c>
      <c r="F134" s="87"/>
      <c r="G134" s="88">
        <f>G135</f>
        <v>12333.6</v>
      </c>
      <c r="H134" s="88">
        <f>H135</f>
        <v>12333.6</v>
      </c>
      <c r="I134" s="88">
        <f>I135</f>
        <v>12333.6</v>
      </c>
      <c r="J134" s="42"/>
      <c r="K134" s="35"/>
      <c r="L134" s="35"/>
      <c r="M134" s="36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</row>
    <row r="135" spans="1:29" ht="141.75" customHeight="1">
      <c r="A135" s="124" t="s">
        <v>519</v>
      </c>
      <c r="B135" s="103">
        <v>801</v>
      </c>
      <c r="C135" s="87" t="s">
        <v>471</v>
      </c>
      <c r="D135" s="87" t="s">
        <v>792</v>
      </c>
      <c r="E135" s="87" t="s">
        <v>379</v>
      </c>
      <c r="F135" s="87"/>
      <c r="G135" s="88">
        <f>G138</f>
        <v>12333.6</v>
      </c>
      <c r="H135" s="88">
        <f>H138</f>
        <v>12333.6</v>
      </c>
      <c r="I135" s="88">
        <f>I138</f>
        <v>12333.6</v>
      </c>
      <c r="J135" s="42"/>
      <c r="K135" s="35"/>
      <c r="L135" s="35"/>
      <c r="M135" s="36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</row>
    <row r="136" spans="1:29" ht="70.5" customHeight="1" hidden="1">
      <c r="A136" s="124" t="s">
        <v>464</v>
      </c>
      <c r="B136" s="103">
        <v>801</v>
      </c>
      <c r="C136" s="87" t="s">
        <v>471</v>
      </c>
      <c r="D136" s="87" t="s">
        <v>792</v>
      </c>
      <c r="E136" s="87" t="s">
        <v>56</v>
      </c>
      <c r="F136" s="87"/>
      <c r="G136" s="88">
        <f>G137</f>
        <v>0</v>
      </c>
      <c r="H136" s="88">
        <f>H137</f>
        <v>0</v>
      </c>
      <c r="I136" s="88">
        <f>I137</f>
        <v>0</v>
      </c>
      <c r="J136" s="42"/>
      <c r="K136" s="35"/>
      <c r="L136" s="35"/>
      <c r="M136" s="36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</row>
    <row r="137" spans="1:29" ht="16.5" customHeight="1" hidden="1">
      <c r="A137" s="131" t="s">
        <v>541</v>
      </c>
      <c r="B137" s="103">
        <v>801</v>
      </c>
      <c r="C137" s="87" t="s">
        <v>471</v>
      </c>
      <c r="D137" s="87" t="s">
        <v>792</v>
      </c>
      <c r="E137" s="87" t="s">
        <v>56</v>
      </c>
      <c r="F137" s="87" t="s">
        <v>51</v>
      </c>
      <c r="G137" s="88"/>
      <c r="H137" s="88"/>
      <c r="I137" s="88"/>
      <c r="J137" s="42"/>
      <c r="K137" s="35"/>
      <c r="L137" s="35"/>
      <c r="M137" s="36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</row>
    <row r="138" spans="1:29" ht="72" customHeight="1">
      <c r="A138" s="124" t="s">
        <v>432</v>
      </c>
      <c r="B138" s="103">
        <v>801</v>
      </c>
      <c r="C138" s="87" t="s">
        <v>471</v>
      </c>
      <c r="D138" s="87" t="s">
        <v>792</v>
      </c>
      <c r="E138" s="87" t="s">
        <v>520</v>
      </c>
      <c r="F138" s="87"/>
      <c r="G138" s="88">
        <f>G139</f>
        <v>12333.6</v>
      </c>
      <c r="H138" s="88">
        <f>H139</f>
        <v>12333.6</v>
      </c>
      <c r="I138" s="88">
        <f>I139</f>
        <v>12333.6</v>
      </c>
      <c r="J138" s="42"/>
      <c r="K138" s="35"/>
      <c r="L138" s="35"/>
      <c r="M138" s="36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</row>
    <row r="139" spans="1:29" ht="16.5">
      <c r="A139" s="131" t="s">
        <v>541</v>
      </c>
      <c r="B139" s="103">
        <v>801</v>
      </c>
      <c r="C139" s="87" t="s">
        <v>471</v>
      </c>
      <c r="D139" s="87" t="s">
        <v>792</v>
      </c>
      <c r="E139" s="87" t="s">
        <v>520</v>
      </c>
      <c r="F139" s="87" t="s">
        <v>51</v>
      </c>
      <c r="G139" s="88">
        <v>12333.6</v>
      </c>
      <c r="H139" s="88">
        <v>12333.6</v>
      </c>
      <c r="I139" s="88">
        <v>12333.6</v>
      </c>
      <c r="J139" s="42"/>
      <c r="K139" s="35"/>
      <c r="L139" s="35"/>
      <c r="M139" s="36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</row>
    <row r="140" spans="1:29" ht="18" customHeight="1" hidden="1">
      <c r="A140" s="131" t="s">
        <v>380</v>
      </c>
      <c r="B140" s="103">
        <v>801</v>
      </c>
      <c r="C140" s="87" t="s">
        <v>471</v>
      </c>
      <c r="D140" s="87" t="s">
        <v>792</v>
      </c>
      <c r="E140" s="87" t="s">
        <v>381</v>
      </c>
      <c r="F140" s="87"/>
      <c r="G140" s="88">
        <f aca="true" t="shared" si="13" ref="G140:I141">SUM(G141)</f>
        <v>400</v>
      </c>
      <c r="H140" s="88">
        <f t="shared" si="13"/>
        <v>0</v>
      </c>
      <c r="I140" s="88">
        <f t="shared" si="13"/>
        <v>0</v>
      </c>
      <c r="J140" s="42"/>
      <c r="K140" s="35"/>
      <c r="L140" s="35"/>
      <c r="M140" s="36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</row>
    <row r="141" spans="1:29" ht="36.75" customHeight="1" hidden="1">
      <c r="A141" s="143" t="s">
        <v>726</v>
      </c>
      <c r="B141" s="103">
        <v>801</v>
      </c>
      <c r="C141" s="87" t="s">
        <v>471</v>
      </c>
      <c r="D141" s="87" t="s">
        <v>792</v>
      </c>
      <c r="E141" s="87" t="s">
        <v>382</v>
      </c>
      <c r="F141" s="87"/>
      <c r="G141" s="88">
        <f t="shared" si="13"/>
        <v>400</v>
      </c>
      <c r="H141" s="88">
        <f t="shared" si="13"/>
        <v>0</v>
      </c>
      <c r="I141" s="88">
        <f t="shared" si="13"/>
        <v>0</v>
      </c>
      <c r="J141" s="42"/>
      <c r="K141" s="35"/>
      <c r="L141" s="35"/>
      <c r="M141" s="36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</row>
    <row r="142" spans="1:29" ht="16.5" customHeight="1" hidden="1">
      <c r="A142" s="131" t="s">
        <v>377</v>
      </c>
      <c r="B142" s="103">
        <v>801</v>
      </c>
      <c r="C142" s="87" t="s">
        <v>471</v>
      </c>
      <c r="D142" s="87" t="s">
        <v>792</v>
      </c>
      <c r="E142" s="87" t="s">
        <v>382</v>
      </c>
      <c r="F142" s="87" t="s">
        <v>824</v>
      </c>
      <c r="G142" s="88">
        <v>400</v>
      </c>
      <c r="H142" s="88"/>
      <c r="I142" s="88"/>
      <c r="J142" s="42"/>
      <c r="K142" s="35"/>
      <c r="L142" s="35"/>
      <c r="M142" s="36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</row>
    <row r="143" spans="1:29" ht="19.5" customHeight="1" hidden="1">
      <c r="A143" s="140" t="s">
        <v>383</v>
      </c>
      <c r="B143" s="103">
        <v>801</v>
      </c>
      <c r="C143" s="87" t="s">
        <v>471</v>
      </c>
      <c r="D143" s="87" t="s">
        <v>792</v>
      </c>
      <c r="E143" s="87" t="s">
        <v>343</v>
      </c>
      <c r="F143" s="87"/>
      <c r="G143" s="88">
        <f aca="true" t="shared" si="14" ref="G143:I144">SUM(G144)</f>
        <v>0</v>
      </c>
      <c r="H143" s="88">
        <f t="shared" si="14"/>
        <v>0</v>
      </c>
      <c r="I143" s="88">
        <f t="shared" si="14"/>
        <v>0</v>
      </c>
      <c r="J143" s="42"/>
      <c r="K143" s="35"/>
      <c r="L143" s="35"/>
      <c r="M143" s="36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</row>
    <row r="144" spans="1:29" ht="20.25" customHeight="1" hidden="1">
      <c r="A144" s="131" t="s">
        <v>780</v>
      </c>
      <c r="B144" s="103">
        <v>801</v>
      </c>
      <c r="C144" s="87" t="s">
        <v>471</v>
      </c>
      <c r="D144" s="87" t="s">
        <v>792</v>
      </c>
      <c r="E144" s="87" t="s">
        <v>534</v>
      </c>
      <c r="F144" s="87"/>
      <c r="G144" s="88">
        <f t="shared" si="14"/>
        <v>0</v>
      </c>
      <c r="H144" s="88">
        <f t="shared" si="14"/>
        <v>0</v>
      </c>
      <c r="I144" s="88">
        <f t="shared" si="14"/>
        <v>0</v>
      </c>
      <c r="J144" s="42"/>
      <c r="K144" s="35"/>
      <c r="L144" s="35"/>
      <c r="M144" s="36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</row>
    <row r="145" spans="1:29" ht="18" customHeight="1" hidden="1">
      <c r="A145" s="131" t="s">
        <v>377</v>
      </c>
      <c r="B145" s="103">
        <v>801</v>
      </c>
      <c r="C145" s="87" t="s">
        <v>471</v>
      </c>
      <c r="D145" s="87" t="s">
        <v>792</v>
      </c>
      <c r="E145" s="87" t="s">
        <v>534</v>
      </c>
      <c r="F145" s="87" t="s">
        <v>824</v>
      </c>
      <c r="G145" s="88"/>
      <c r="H145" s="88"/>
      <c r="I145" s="88"/>
      <c r="J145" s="42"/>
      <c r="K145" s="35"/>
      <c r="L145" s="35"/>
      <c r="M145" s="36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</row>
    <row r="146" spans="1:29" ht="18" customHeight="1">
      <c r="A146" s="131" t="s">
        <v>834</v>
      </c>
      <c r="B146" s="103">
        <v>801</v>
      </c>
      <c r="C146" s="87" t="s">
        <v>509</v>
      </c>
      <c r="D146" s="87"/>
      <c r="E146" s="87"/>
      <c r="F146" s="87"/>
      <c r="G146" s="88">
        <f>SUM(G148)</f>
        <v>32768.4</v>
      </c>
      <c r="H146" s="88">
        <f>SUM(H147)</f>
        <v>30216.7</v>
      </c>
      <c r="I146" s="88">
        <f>SUM(I148)</f>
        <v>30286</v>
      </c>
      <c r="J146" s="42"/>
      <c r="K146" s="35"/>
      <c r="L146" s="35"/>
      <c r="M146" s="36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</row>
    <row r="147" spans="1:29" ht="18" customHeight="1">
      <c r="A147" s="131" t="s">
        <v>751</v>
      </c>
      <c r="B147" s="103">
        <v>801</v>
      </c>
      <c r="C147" s="87" t="s">
        <v>509</v>
      </c>
      <c r="D147" s="87" t="s">
        <v>791</v>
      </c>
      <c r="E147" s="87"/>
      <c r="F147" s="87"/>
      <c r="G147" s="88">
        <f>G148</f>
        <v>32768.4</v>
      </c>
      <c r="H147" s="88">
        <f>H148+H153</f>
        <v>30216.7</v>
      </c>
      <c r="I147" s="88">
        <f>I148</f>
        <v>30286</v>
      </c>
      <c r="J147" s="42"/>
      <c r="K147" s="35"/>
      <c r="L147" s="35"/>
      <c r="M147" s="36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</row>
    <row r="148" spans="1:29" ht="24.75" customHeight="1">
      <c r="A148" s="144" t="s">
        <v>742</v>
      </c>
      <c r="B148" s="103">
        <v>801</v>
      </c>
      <c r="C148" s="87" t="s">
        <v>509</v>
      </c>
      <c r="D148" s="87" t="s">
        <v>791</v>
      </c>
      <c r="E148" s="87" t="s">
        <v>367</v>
      </c>
      <c r="F148" s="87"/>
      <c r="G148" s="88">
        <f>SUM(G149,G151)</f>
        <v>32768.4</v>
      </c>
      <c r="H148" s="88">
        <f>SUM(H149,H151)</f>
        <v>30141.7</v>
      </c>
      <c r="I148" s="88">
        <f>SUM(I149,I151)</f>
        <v>30286</v>
      </c>
      <c r="J148" s="42"/>
      <c r="K148" s="35"/>
      <c r="L148" s="35"/>
      <c r="M148" s="36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</row>
    <row r="149" spans="1:29" ht="18" customHeight="1">
      <c r="A149" s="131" t="s">
        <v>564</v>
      </c>
      <c r="B149" s="103">
        <v>801</v>
      </c>
      <c r="C149" s="87" t="s">
        <v>509</v>
      </c>
      <c r="D149" s="87" t="s">
        <v>791</v>
      </c>
      <c r="E149" s="87" t="s">
        <v>505</v>
      </c>
      <c r="F149" s="87"/>
      <c r="G149" s="88">
        <f>SUM(G150)</f>
        <v>25</v>
      </c>
      <c r="H149" s="88">
        <f>SUM(H150)</f>
        <v>25</v>
      </c>
      <c r="I149" s="88">
        <f>SUM(I150)</f>
        <v>25</v>
      </c>
      <c r="J149" s="42"/>
      <c r="K149" s="35"/>
      <c r="L149" s="35"/>
      <c r="M149" s="36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</row>
    <row r="150" spans="1:29" ht="18" customHeight="1">
      <c r="A150" s="125" t="s">
        <v>140</v>
      </c>
      <c r="B150" s="103">
        <v>801</v>
      </c>
      <c r="C150" s="87" t="s">
        <v>509</v>
      </c>
      <c r="D150" s="87" t="s">
        <v>791</v>
      </c>
      <c r="E150" s="87" t="s">
        <v>505</v>
      </c>
      <c r="F150" s="87" t="s">
        <v>545</v>
      </c>
      <c r="G150" s="88">
        <v>25</v>
      </c>
      <c r="H150" s="88">
        <v>25</v>
      </c>
      <c r="I150" s="88">
        <v>25</v>
      </c>
      <c r="J150" s="42"/>
      <c r="K150" s="35"/>
      <c r="L150" s="35"/>
      <c r="M150" s="36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</row>
    <row r="151" spans="1:29" ht="18" customHeight="1">
      <c r="A151" s="125" t="s">
        <v>540</v>
      </c>
      <c r="B151" s="103">
        <v>801</v>
      </c>
      <c r="C151" s="87" t="s">
        <v>509</v>
      </c>
      <c r="D151" s="87" t="s">
        <v>791</v>
      </c>
      <c r="E151" s="87" t="s">
        <v>368</v>
      </c>
      <c r="F151" s="87"/>
      <c r="G151" s="88">
        <f>SUM(G152)</f>
        <v>32743.4</v>
      </c>
      <c r="H151" s="88">
        <f>SUM(H152)</f>
        <v>30116.7</v>
      </c>
      <c r="I151" s="88">
        <f>SUM(I152)</f>
        <v>30261</v>
      </c>
      <c r="J151" s="42"/>
      <c r="K151" s="35"/>
      <c r="L151" s="35"/>
      <c r="M151" s="36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</row>
    <row r="152" spans="1:29" ht="18" customHeight="1">
      <c r="A152" s="125" t="s">
        <v>140</v>
      </c>
      <c r="B152" s="103">
        <v>801</v>
      </c>
      <c r="C152" s="87" t="s">
        <v>509</v>
      </c>
      <c r="D152" s="87" t="s">
        <v>791</v>
      </c>
      <c r="E152" s="87" t="s">
        <v>368</v>
      </c>
      <c r="F152" s="87" t="s">
        <v>545</v>
      </c>
      <c r="G152" s="88">
        <f>17084.7+15658.7</f>
        <v>32743.4</v>
      </c>
      <c r="H152" s="88">
        <f>14458+15658.7</f>
        <v>30116.7</v>
      </c>
      <c r="I152" s="88">
        <f>14602.3+15658.7</f>
        <v>30261</v>
      </c>
      <c r="J152" s="42"/>
      <c r="K152" s="35"/>
      <c r="L152" s="35"/>
      <c r="M152" s="36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</row>
    <row r="153" spans="1:29" ht="18" customHeight="1">
      <c r="A153" s="140" t="s">
        <v>349</v>
      </c>
      <c r="B153" s="103">
        <v>801</v>
      </c>
      <c r="C153" s="87" t="s">
        <v>509</v>
      </c>
      <c r="D153" s="87" t="s">
        <v>791</v>
      </c>
      <c r="E153" s="87" t="s">
        <v>343</v>
      </c>
      <c r="F153" s="87"/>
      <c r="G153" s="88"/>
      <c r="H153" s="88">
        <f>H154</f>
        <v>75</v>
      </c>
      <c r="I153" s="88"/>
      <c r="J153" s="42"/>
      <c r="K153" s="35"/>
      <c r="L153" s="35"/>
      <c r="M153" s="36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</row>
    <row r="154" spans="1:29" ht="18" customHeight="1">
      <c r="A154" s="140" t="s">
        <v>380</v>
      </c>
      <c r="B154" s="103">
        <v>801</v>
      </c>
      <c r="C154" s="87" t="s">
        <v>509</v>
      </c>
      <c r="D154" s="87" t="s">
        <v>791</v>
      </c>
      <c r="E154" s="87" t="s">
        <v>344</v>
      </c>
      <c r="F154" s="87"/>
      <c r="G154" s="88"/>
      <c r="H154" s="88">
        <f>H155</f>
        <v>75</v>
      </c>
      <c r="I154" s="88"/>
      <c r="J154" s="42"/>
      <c r="K154" s="35"/>
      <c r="L154" s="35"/>
      <c r="M154" s="36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</row>
    <row r="155" spans="1:29" ht="34.5" customHeight="1">
      <c r="A155" s="124" t="s">
        <v>361</v>
      </c>
      <c r="B155" s="103">
        <v>801</v>
      </c>
      <c r="C155" s="87" t="s">
        <v>509</v>
      </c>
      <c r="D155" s="87" t="s">
        <v>791</v>
      </c>
      <c r="E155" s="87" t="s">
        <v>357</v>
      </c>
      <c r="F155" s="87"/>
      <c r="G155" s="88"/>
      <c r="H155" s="88">
        <f>H156</f>
        <v>75</v>
      </c>
      <c r="I155" s="88"/>
      <c r="J155" s="42"/>
      <c r="K155" s="35"/>
      <c r="L155" s="35"/>
      <c r="M155" s="36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</row>
    <row r="156" spans="1:29" ht="18" customHeight="1">
      <c r="A156" s="124" t="s">
        <v>690</v>
      </c>
      <c r="B156" s="103">
        <v>801</v>
      </c>
      <c r="C156" s="87" t="s">
        <v>509</v>
      </c>
      <c r="D156" s="87" t="s">
        <v>791</v>
      </c>
      <c r="E156" s="87" t="s">
        <v>357</v>
      </c>
      <c r="F156" s="87" t="s">
        <v>197</v>
      </c>
      <c r="G156" s="88"/>
      <c r="H156" s="88">
        <v>75</v>
      </c>
      <c r="I156" s="88"/>
      <c r="J156" s="42"/>
      <c r="K156" s="35"/>
      <c r="L156" s="35"/>
      <c r="M156" s="36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</row>
    <row r="157" spans="1:29" ht="19.5" customHeight="1">
      <c r="A157" s="132" t="s">
        <v>83</v>
      </c>
      <c r="B157" s="103">
        <v>802</v>
      </c>
      <c r="C157" s="87"/>
      <c r="D157" s="87"/>
      <c r="E157" s="87"/>
      <c r="F157" s="87"/>
      <c r="G157" s="88">
        <f>G158+G167+G175</f>
        <v>18178.5</v>
      </c>
      <c r="H157" s="88">
        <f>H158+H167+H175</f>
        <v>17403</v>
      </c>
      <c r="I157" s="88">
        <f>I158+I167+I175</f>
        <v>17446.5</v>
      </c>
      <c r="J157" s="42"/>
      <c r="K157" s="35"/>
      <c r="L157" s="35"/>
      <c r="M157" s="36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</row>
    <row r="158" spans="1:29" ht="18.75" customHeight="1">
      <c r="A158" s="141" t="s">
        <v>0</v>
      </c>
      <c r="B158" s="103">
        <v>802</v>
      </c>
      <c r="C158" s="87" t="s">
        <v>790</v>
      </c>
      <c r="D158" s="87"/>
      <c r="E158" s="87"/>
      <c r="F158" s="87"/>
      <c r="G158" s="88">
        <f aca="true" t="shared" si="15" ref="G158:I159">SUM(G159)</f>
        <v>18178.5</v>
      </c>
      <c r="H158" s="88">
        <f t="shared" si="15"/>
        <v>17403</v>
      </c>
      <c r="I158" s="88">
        <f t="shared" si="15"/>
        <v>17446.5</v>
      </c>
      <c r="J158" s="42"/>
      <c r="K158" s="35"/>
      <c r="L158" s="35"/>
      <c r="M158" s="36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</row>
    <row r="159" spans="1:29" ht="51" customHeight="1">
      <c r="A159" s="131" t="s">
        <v>584</v>
      </c>
      <c r="B159" s="103">
        <v>802</v>
      </c>
      <c r="C159" s="87" t="s">
        <v>790</v>
      </c>
      <c r="D159" s="87" t="s">
        <v>792</v>
      </c>
      <c r="E159" s="87"/>
      <c r="F159" s="87"/>
      <c r="G159" s="88">
        <f t="shared" si="15"/>
        <v>18178.5</v>
      </c>
      <c r="H159" s="88">
        <f t="shared" si="15"/>
        <v>17403</v>
      </c>
      <c r="I159" s="88">
        <f t="shared" si="15"/>
        <v>17446.5</v>
      </c>
      <c r="J159" s="42"/>
      <c r="K159" s="35"/>
      <c r="L159" s="35"/>
      <c r="M159" s="36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</row>
    <row r="160" spans="1:29" ht="54.75" customHeight="1">
      <c r="A160" s="125" t="s">
        <v>585</v>
      </c>
      <c r="B160" s="103">
        <v>802</v>
      </c>
      <c r="C160" s="87" t="s">
        <v>790</v>
      </c>
      <c r="D160" s="87" t="s">
        <v>792</v>
      </c>
      <c r="E160" s="87" t="s">
        <v>27</v>
      </c>
      <c r="F160" s="87"/>
      <c r="G160" s="88">
        <f>SUM(G161,G163,G165)</f>
        <v>18178.5</v>
      </c>
      <c r="H160" s="88">
        <f>SUM(H161,H163,H165)</f>
        <v>17403</v>
      </c>
      <c r="I160" s="88">
        <f>SUM(I161,I163,I165)</f>
        <v>17446.5</v>
      </c>
      <c r="J160" s="42"/>
      <c r="K160" s="35"/>
      <c r="L160" s="35"/>
      <c r="M160" s="36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</row>
    <row r="161" spans="1:29" ht="18.75" customHeight="1">
      <c r="A161" s="125" t="s">
        <v>560</v>
      </c>
      <c r="B161" s="103">
        <v>802</v>
      </c>
      <c r="C161" s="87" t="s">
        <v>790</v>
      </c>
      <c r="D161" s="87" t="s">
        <v>792</v>
      </c>
      <c r="E161" s="87" t="s">
        <v>29</v>
      </c>
      <c r="F161" s="87"/>
      <c r="G161" s="88">
        <f>SUM(G162)</f>
        <v>13569.1</v>
      </c>
      <c r="H161" s="88">
        <f>SUM(H162)</f>
        <v>12793.6</v>
      </c>
      <c r="I161" s="88">
        <f>SUM(I162)</f>
        <v>12837.1</v>
      </c>
      <c r="J161" s="42"/>
      <c r="K161" s="35"/>
      <c r="L161" s="35"/>
      <c r="M161" s="36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</row>
    <row r="162" spans="1:29" ht="18" customHeight="1">
      <c r="A162" s="124" t="s">
        <v>346</v>
      </c>
      <c r="B162" s="103">
        <v>802</v>
      </c>
      <c r="C162" s="87" t="s">
        <v>790</v>
      </c>
      <c r="D162" s="87" t="s">
        <v>792</v>
      </c>
      <c r="E162" s="87" t="s">
        <v>29</v>
      </c>
      <c r="F162" s="87" t="s">
        <v>197</v>
      </c>
      <c r="G162" s="88">
        <f>13267.5+301.6</f>
        <v>13569.1</v>
      </c>
      <c r="H162" s="88">
        <f>12492+301.6</f>
        <v>12793.6</v>
      </c>
      <c r="I162" s="88">
        <f>12535.5+301.6</f>
        <v>12837.1</v>
      </c>
      <c r="J162" s="42"/>
      <c r="K162" s="35"/>
      <c r="L162" s="35"/>
      <c r="M162" s="36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</row>
    <row r="163" spans="1:29" ht="21" customHeight="1">
      <c r="A163" s="125" t="s">
        <v>294</v>
      </c>
      <c r="B163" s="103">
        <v>802</v>
      </c>
      <c r="C163" s="87" t="s">
        <v>790</v>
      </c>
      <c r="D163" s="87" t="s">
        <v>792</v>
      </c>
      <c r="E163" s="87" t="s">
        <v>384</v>
      </c>
      <c r="F163" s="87"/>
      <c r="G163" s="88">
        <f>SUM(G164)</f>
        <v>1725</v>
      </c>
      <c r="H163" s="88">
        <f>SUM(H164)</f>
        <v>1725</v>
      </c>
      <c r="I163" s="88">
        <f>SUM(I164)</f>
        <v>1725</v>
      </c>
      <c r="J163" s="42"/>
      <c r="K163" s="35"/>
      <c r="L163" s="35"/>
      <c r="M163" s="36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</row>
    <row r="164" spans="1:29" ht="20.25" customHeight="1">
      <c r="A164" s="124" t="s">
        <v>346</v>
      </c>
      <c r="B164" s="103">
        <v>802</v>
      </c>
      <c r="C164" s="87" t="s">
        <v>790</v>
      </c>
      <c r="D164" s="87" t="s">
        <v>792</v>
      </c>
      <c r="E164" s="87" t="s">
        <v>384</v>
      </c>
      <c r="F164" s="87" t="s">
        <v>197</v>
      </c>
      <c r="G164" s="88">
        <f>1725</f>
        <v>1725</v>
      </c>
      <c r="H164" s="88">
        <v>1725</v>
      </c>
      <c r="I164" s="88">
        <v>1725</v>
      </c>
      <c r="J164" s="42"/>
      <c r="K164" s="35"/>
      <c r="L164" s="35"/>
      <c r="M164" s="36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</row>
    <row r="165" spans="1:29" ht="19.5" customHeight="1">
      <c r="A165" s="125" t="s">
        <v>295</v>
      </c>
      <c r="B165" s="103">
        <v>802</v>
      </c>
      <c r="C165" s="87" t="s">
        <v>790</v>
      </c>
      <c r="D165" s="87" t="s">
        <v>792</v>
      </c>
      <c r="E165" s="87" t="s">
        <v>385</v>
      </c>
      <c r="F165" s="87"/>
      <c r="G165" s="88">
        <f>SUM(G166)</f>
        <v>2884.4</v>
      </c>
      <c r="H165" s="88">
        <f>SUM(H166)</f>
        <v>2884.4</v>
      </c>
      <c r="I165" s="88">
        <f>SUM(I166)</f>
        <v>2884.4</v>
      </c>
      <c r="J165" s="42"/>
      <c r="K165" s="35"/>
      <c r="L165" s="35"/>
      <c r="M165" s="36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</row>
    <row r="166" spans="1:29" ht="18" customHeight="1">
      <c r="A166" s="124" t="s">
        <v>346</v>
      </c>
      <c r="B166" s="103">
        <v>802</v>
      </c>
      <c r="C166" s="87" t="s">
        <v>790</v>
      </c>
      <c r="D166" s="87" t="s">
        <v>792</v>
      </c>
      <c r="E166" s="87" t="s">
        <v>385</v>
      </c>
      <c r="F166" s="87" t="s">
        <v>197</v>
      </c>
      <c r="G166" s="88">
        <v>2884.4</v>
      </c>
      <c r="H166" s="88">
        <v>2884.4</v>
      </c>
      <c r="I166" s="88">
        <v>2884.4</v>
      </c>
      <c r="J166" s="42"/>
      <c r="K166" s="35"/>
      <c r="L166" s="35"/>
      <c r="M166" s="36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</row>
    <row r="167" spans="1:29" ht="18" customHeight="1" hidden="1">
      <c r="A167" s="124" t="s">
        <v>418</v>
      </c>
      <c r="B167" s="103">
        <v>802</v>
      </c>
      <c r="C167" s="87" t="s">
        <v>793</v>
      </c>
      <c r="D167" s="87" t="s">
        <v>548</v>
      </c>
      <c r="E167" s="87"/>
      <c r="F167" s="87"/>
      <c r="G167" s="88">
        <f>G168</f>
        <v>0</v>
      </c>
      <c r="H167" s="88">
        <f>H168</f>
        <v>0</v>
      </c>
      <c r="I167" s="88">
        <f>I168</f>
        <v>0</v>
      </c>
      <c r="J167" s="42"/>
      <c r="K167" s="35"/>
      <c r="L167" s="35"/>
      <c r="M167" s="36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</row>
    <row r="168" spans="1:29" ht="18" customHeight="1" hidden="1">
      <c r="A168" s="124" t="s">
        <v>756</v>
      </c>
      <c r="B168" s="103">
        <v>802</v>
      </c>
      <c r="C168" s="87" t="s">
        <v>793</v>
      </c>
      <c r="D168" s="87" t="s">
        <v>790</v>
      </c>
      <c r="E168" s="87"/>
      <c r="F168" s="87"/>
      <c r="G168" s="88">
        <f>G169+G172</f>
        <v>0</v>
      </c>
      <c r="H168" s="88">
        <f>H169+H172</f>
        <v>0</v>
      </c>
      <c r="I168" s="88">
        <f>I169+I172</f>
        <v>0</v>
      </c>
      <c r="J168" s="42"/>
      <c r="K168" s="35"/>
      <c r="L168" s="35"/>
      <c r="M168" s="36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</row>
    <row r="169" spans="1:29" ht="18" customHeight="1" hidden="1">
      <c r="A169" s="124" t="s">
        <v>758</v>
      </c>
      <c r="B169" s="103">
        <v>802</v>
      </c>
      <c r="C169" s="87" t="s">
        <v>793</v>
      </c>
      <c r="D169" s="87" t="s">
        <v>790</v>
      </c>
      <c r="E169" s="87" t="s">
        <v>757</v>
      </c>
      <c r="F169" s="87"/>
      <c r="G169" s="88">
        <f>G170</f>
        <v>0</v>
      </c>
      <c r="H169" s="88">
        <f>H170</f>
        <v>0</v>
      </c>
      <c r="I169" s="88">
        <f>I170</f>
        <v>0</v>
      </c>
      <c r="J169" s="42"/>
      <c r="K169" s="35"/>
      <c r="L169" s="35"/>
      <c r="M169" s="36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</row>
    <row r="170" spans="1:29" ht="33.75" customHeight="1" hidden="1">
      <c r="A170" s="125" t="s">
        <v>568</v>
      </c>
      <c r="B170" s="103">
        <v>802</v>
      </c>
      <c r="C170" s="87" t="s">
        <v>793</v>
      </c>
      <c r="D170" s="87" t="s">
        <v>790</v>
      </c>
      <c r="E170" s="87" t="s">
        <v>567</v>
      </c>
      <c r="F170" s="87"/>
      <c r="G170" s="88">
        <f>SUM(G171)</f>
        <v>0</v>
      </c>
      <c r="H170" s="88">
        <f>SUM(H171)</f>
        <v>0</v>
      </c>
      <c r="I170" s="88">
        <f>SUM(I171)</f>
        <v>0</v>
      </c>
      <c r="J170" s="42"/>
      <c r="K170" s="35"/>
      <c r="L170" s="35"/>
      <c r="M170" s="36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</row>
    <row r="171" spans="1:29" ht="18" customHeight="1" hidden="1">
      <c r="A171" s="125" t="s">
        <v>836</v>
      </c>
      <c r="B171" s="103">
        <v>802</v>
      </c>
      <c r="C171" s="87" t="s">
        <v>793</v>
      </c>
      <c r="D171" s="87" t="s">
        <v>790</v>
      </c>
      <c r="E171" s="87" t="s">
        <v>567</v>
      </c>
      <c r="F171" s="87" t="s">
        <v>545</v>
      </c>
      <c r="G171" s="88"/>
      <c r="H171" s="88"/>
      <c r="I171" s="88"/>
      <c r="J171" s="42"/>
      <c r="K171" s="35"/>
      <c r="L171" s="35"/>
      <c r="M171" s="36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</row>
    <row r="172" spans="1:29" ht="18" customHeight="1" hidden="1">
      <c r="A172" s="125" t="s">
        <v>277</v>
      </c>
      <c r="B172" s="103">
        <v>802</v>
      </c>
      <c r="C172" s="87" t="s">
        <v>793</v>
      </c>
      <c r="D172" s="87" t="s">
        <v>790</v>
      </c>
      <c r="E172" s="87" t="s">
        <v>381</v>
      </c>
      <c r="F172" s="87"/>
      <c r="G172" s="88">
        <f>G173</f>
        <v>0</v>
      </c>
      <c r="H172" s="88">
        <f>H173</f>
        <v>0</v>
      </c>
      <c r="I172" s="88">
        <f>I173</f>
        <v>0</v>
      </c>
      <c r="J172" s="42"/>
      <c r="K172" s="35"/>
      <c r="L172" s="35"/>
      <c r="M172" s="36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</row>
    <row r="173" spans="1:29" ht="34.5" customHeight="1" hidden="1">
      <c r="A173" s="125" t="s">
        <v>569</v>
      </c>
      <c r="B173" s="103">
        <v>802</v>
      </c>
      <c r="C173" s="87" t="s">
        <v>793</v>
      </c>
      <c r="D173" s="87" t="s">
        <v>790</v>
      </c>
      <c r="E173" s="87" t="s">
        <v>572</v>
      </c>
      <c r="F173" s="87"/>
      <c r="G173" s="88">
        <f>SUM(G174)</f>
        <v>0</v>
      </c>
      <c r="H173" s="88">
        <f>SUM(H174)</f>
        <v>0</v>
      </c>
      <c r="I173" s="88">
        <f>SUM(I174)</f>
        <v>0</v>
      </c>
      <c r="J173" s="42"/>
      <c r="K173" s="35"/>
      <c r="L173" s="35"/>
      <c r="M173" s="36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</row>
    <row r="174" spans="1:29" ht="18" customHeight="1" hidden="1">
      <c r="A174" s="125" t="s">
        <v>836</v>
      </c>
      <c r="B174" s="103">
        <v>802</v>
      </c>
      <c r="C174" s="87" t="s">
        <v>793</v>
      </c>
      <c r="D174" s="87" t="s">
        <v>790</v>
      </c>
      <c r="E174" s="87" t="s">
        <v>572</v>
      </c>
      <c r="F174" s="87" t="s">
        <v>545</v>
      </c>
      <c r="G174" s="88"/>
      <c r="H174" s="88"/>
      <c r="I174" s="88"/>
      <c r="J174" s="42"/>
      <c r="K174" s="35"/>
      <c r="L174" s="35"/>
      <c r="M174" s="36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</row>
    <row r="175" spans="1:29" ht="18" customHeight="1" hidden="1">
      <c r="A175" s="131" t="s">
        <v>364</v>
      </c>
      <c r="B175" s="103">
        <v>802</v>
      </c>
      <c r="C175" s="87" t="s">
        <v>508</v>
      </c>
      <c r="D175" s="87"/>
      <c r="E175" s="87"/>
      <c r="F175" s="87"/>
      <c r="G175" s="88">
        <f>G176</f>
        <v>0</v>
      </c>
      <c r="H175" s="88">
        <f aca="true" t="shared" si="16" ref="H175:I177">H176</f>
        <v>0</v>
      </c>
      <c r="I175" s="88">
        <f t="shared" si="16"/>
        <v>0</v>
      </c>
      <c r="J175" s="42"/>
      <c r="K175" s="35"/>
      <c r="L175" s="35"/>
      <c r="M175" s="36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</row>
    <row r="176" spans="1:29" ht="18" customHeight="1" hidden="1">
      <c r="A176" s="131" t="s">
        <v>231</v>
      </c>
      <c r="B176" s="103">
        <v>802</v>
      </c>
      <c r="C176" s="87" t="s">
        <v>508</v>
      </c>
      <c r="D176" s="87" t="s">
        <v>508</v>
      </c>
      <c r="E176" s="87"/>
      <c r="F176" s="87"/>
      <c r="G176" s="88">
        <f>G177</f>
        <v>0</v>
      </c>
      <c r="H176" s="88">
        <f t="shared" si="16"/>
        <v>0</v>
      </c>
      <c r="I176" s="88">
        <f t="shared" si="16"/>
        <v>0</v>
      </c>
      <c r="J176" s="42"/>
      <c r="K176" s="35"/>
      <c r="L176" s="35"/>
      <c r="M176" s="36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</row>
    <row r="177" spans="1:29" ht="18" customHeight="1" hidden="1">
      <c r="A177" s="125" t="s">
        <v>209</v>
      </c>
      <c r="B177" s="103">
        <v>802</v>
      </c>
      <c r="C177" s="87" t="s">
        <v>508</v>
      </c>
      <c r="D177" s="87" t="s">
        <v>508</v>
      </c>
      <c r="E177" s="87" t="s">
        <v>473</v>
      </c>
      <c r="F177" s="87"/>
      <c r="G177" s="88">
        <f>G178</f>
        <v>0</v>
      </c>
      <c r="H177" s="88">
        <f t="shared" si="16"/>
        <v>0</v>
      </c>
      <c r="I177" s="88">
        <f t="shared" si="16"/>
        <v>0</v>
      </c>
      <c r="J177" s="42"/>
      <c r="K177" s="35"/>
      <c r="L177" s="35"/>
      <c r="M177" s="36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</row>
    <row r="178" spans="1:29" ht="18" customHeight="1" hidden="1">
      <c r="A178" s="140" t="s">
        <v>301</v>
      </c>
      <c r="B178" s="103">
        <v>802</v>
      </c>
      <c r="C178" s="87" t="s">
        <v>508</v>
      </c>
      <c r="D178" s="87" t="s">
        <v>508</v>
      </c>
      <c r="E178" s="87" t="s">
        <v>516</v>
      </c>
      <c r="F178" s="87"/>
      <c r="G178" s="88">
        <f>SUM(G179)</f>
        <v>0</v>
      </c>
      <c r="H178" s="88">
        <f>SUM(H179)</f>
        <v>0</v>
      </c>
      <c r="I178" s="88">
        <f>SUM(I179)</f>
        <v>0</v>
      </c>
      <c r="J178" s="42"/>
      <c r="K178" s="35"/>
      <c r="L178" s="35"/>
      <c r="M178" s="36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</row>
    <row r="179" spans="1:29" ht="18" customHeight="1" hidden="1">
      <c r="A179" s="131" t="s">
        <v>537</v>
      </c>
      <c r="B179" s="103">
        <v>802</v>
      </c>
      <c r="C179" s="87" t="s">
        <v>508</v>
      </c>
      <c r="D179" s="87" t="s">
        <v>508</v>
      </c>
      <c r="E179" s="87" t="s">
        <v>516</v>
      </c>
      <c r="F179" s="87" t="s">
        <v>536</v>
      </c>
      <c r="G179" s="88"/>
      <c r="H179" s="88"/>
      <c r="I179" s="88"/>
      <c r="J179" s="42"/>
      <c r="K179" s="35"/>
      <c r="L179" s="35"/>
      <c r="M179" s="36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</row>
    <row r="180" spans="1:29" ht="33.75" customHeight="1">
      <c r="A180" s="133" t="s">
        <v>84</v>
      </c>
      <c r="B180" s="103">
        <v>803</v>
      </c>
      <c r="C180" s="87"/>
      <c r="D180" s="87"/>
      <c r="E180" s="87"/>
      <c r="F180" s="87"/>
      <c r="G180" s="88">
        <f>SUM(G191,G240,G181,G186,G235)</f>
        <v>563476.3999999999</v>
      </c>
      <c r="H180" s="88">
        <f>SUM(H191,H240,H181,H186,H235)</f>
        <v>541145.6000000001</v>
      </c>
      <c r="I180" s="88">
        <f>SUM(I191,I240,I181,I186,I235)</f>
        <v>571282.2999999998</v>
      </c>
      <c r="J180" s="42"/>
      <c r="K180" s="35"/>
      <c r="L180" s="35"/>
      <c r="M180" s="36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</row>
    <row r="181" spans="1:29" ht="18" customHeight="1" hidden="1">
      <c r="A181" s="141" t="s">
        <v>0</v>
      </c>
      <c r="B181" s="103">
        <v>803</v>
      </c>
      <c r="C181" s="87" t="s">
        <v>790</v>
      </c>
      <c r="D181" s="87"/>
      <c r="E181" s="87"/>
      <c r="F181" s="87"/>
      <c r="G181" s="88">
        <f>G182</f>
        <v>0</v>
      </c>
      <c r="H181" s="88">
        <f aca="true" t="shared" si="17" ref="H181:I184">H182</f>
        <v>0</v>
      </c>
      <c r="I181" s="88">
        <f t="shared" si="17"/>
        <v>0</v>
      </c>
      <c r="J181" s="42"/>
      <c r="K181" s="35"/>
      <c r="L181" s="35"/>
      <c r="M181" s="36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</row>
    <row r="182" spans="1:29" ht="18" customHeight="1" hidden="1">
      <c r="A182" s="131" t="s">
        <v>305</v>
      </c>
      <c r="B182" s="103">
        <v>803</v>
      </c>
      <c r="C182" s="87" t="s">
        <v>790</v>
      </c>
      <c r="D182" s="87" t="s">
        <v>487</v>
      </c>
      <c r="E182" s="87"/>
      <c r="F182" s="87"/>
      <c r="G182" s="88">
        <f>G183</f>
        <v>0</v>
      </c>
      <c r="H182" s="88">
        <f t="shared" si="17"/>
        <v>0</v>
      </c>
      <c r="I182" s="88">
        <f t="shared" si="17"/>
        <v>0</v>
      </c>
      <c r="J182" s="42"/>
      <c r="K182" s="35"/>
      <c r="L182" s="35"/>
      <c r="M182" s="36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</row>
    <row r="183" spans="1:29" ht="18" customHeight="1" hidden="1">
      <c r="A183" s="140" t="s">
        <v>5</v>
      </c>
      <c r="B183" s="103">
        <v>803</v>
      </c>
      <c r="C183" s="87" t="s">
        <v>790</v>
      </c>
      <c r="D183" s="87" t="s">
        <v>487</v>
      </c>
      <c r="E183" s="87" t="s">
        <v>342</v>
      </c>
      <c r="F183" s="87"/>
      <c r="G183" s="88">
        <f>G184</f>
        <v>0</v>
      </c>
      <c r="H183" s="88">
        <f t="shared" si="17"/>
        <v>0</v>
      </c>
      <c r="I183" s="88">
        <f t="shared" si="17"/>
        <v>0</v>
      </c>
      <c r="J183" s="42"/>
      <c r="K183" s="35"/>
      <c r="L183" s="35"/>
      <c r="M183" s="36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</row>
    <row r="184" spans="1:29" ht="18" customHeight="1" hidden="1">
      <c r="A184" s="125" t="s">
        <v>6</v>
      </c>
      <c r="B184" s="103">
        <v>803</v>
      </c>
      <c r="C184" s="87" t="s">
        <v>790</v>
      </c>
      <c r="D184" s="87" t="s">
        <v>487</v>
      </c>
      <c r="E184" s="87" t="s">
        <v>399</v>
      </c>
      <c r="F184" s="87"/>
      <c r="G184" s="88">
        <f>G185</f>
        <v>0</v>
      </c>
      <c r="H184" s="88">
        <f t="shared" si="17"/>
        <v>0</v>
      </c>
      <c r="I184" s="88">
        <f t="shared" si="17"/>
        <v>0</v>
      </c>
      <c r="J184" s="42"/>
      <c r="K184" s="35"/>
      <c r="L184" s="35"/>
      <c r="M184" s="36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</row>
    <row r="185" spans="1:29" ht="18" customHeight="1" hidden="1">
      <c r="A185" s="124" t="s">
        <v>346</v>
      </c>
      <c r="B185" s="103">
        <v>803</v>
      </c>
      <c r="C185" s="87" t="s">
        <v>790</v>
      </c>
      <c r="D185" s="87" t="s">
        <v>487</v>
      </c>
      <c r="E185" s="87" t="s">
        <v>399</v>
      </c>
      <c r="F185" s="87" t="s">
        <v>197</v>
      </c>
      <c r="G185" s="88"/>
      <c r="H185" s="88"/>
      <c r="I185" s="88"/>
      <c r="J185" s="42"/>
      <c r="K185" s="35"/>
      <c r="L185" s="35"/>
      <c r="M185" s="36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</row>
    <row r="186" spans="1:29" ht="18" customHeight="1" hidden="1">
      <c r="A186" s="124" t="s">
        <v>418</v>
      </c>
      <c r="B186" s="103">
        <v>803</v>
      </c>
      <c r="C186" s="87" t="s">
        <v>793</v>
      </c>
      <c r="D186" s="87"/>
      <c r="E186" s="87"/>
      <c r="F186" s="87"/>
      <c r="G186" s="88">
        <f>G187</f>
        <v>0</v>
      </c>
      <c r="H186" s="88">
        <f aca="true" t="shared" si="18" ref="H186:I189">H187</f>
        <v>0</v>
      </c>
      <c r="I186" s="88">
        <f t="shared" si="18"/>
        <v>0</v>
      </c>
      <c r="J186" s="42"/>
      <c r="K186" s="35"/>
      <c r="L186" s="35"/>
      <c r="M186" s="36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</row>
    <row r="187" spans="1:29" ht="18" customHeight="1" hidden="1">
      <c r="A187" s="131" t="s">
        <v>44</v>
      </c>
      <c r="B187" s="103">
        <v>803</v>
      </c>
      <c r="C187" s="87" t="s">
        <v>793</v>
      </c>
      <c r="D187" s="87" t="s">
        <v>509</v>
      </c>
      <c r="E187" s="87"/>
      <c r="F187" s="87"/>
      <c r="G187" s="88">
        <f>G188</f>
        <v>0</v>
      </c>
      <c r="H187" s="88">
        <f t="shared" si="18"/>
        <v>0</v>
      </c>
      <c r="I187" s="88">
        <f t="shared" si="18"/>
        <v>0</v>
      </c>
      <c r="J187" s="42"/>
      <c r="K187" s="35"/>
      <c r="L187" s="35"/>
      <c r="M187" s="36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</row>
    <row r="188" spans="1:29" ht="18" customHeight="1" hidden="1">
      <c r="A188" s="131" t="s">
        <v>230</v>
      </c>
      <c r="B188" s="103">
        <v>803</v>
      </c>
      <c r="C188" s="87" t="s">
        <v>793</v>
      </c>
      <c r="D188" s="87" t="s">
        <v>509</v>
      </c>
      <c r="E188" s="87" t="s">
        <v>420</v>
      </c>
      <c r="F188" s="87"/>
      <c r="G188" s="88">
        <f>G189</f>
        <v>0</v>
      </c>
      <c r="H188" s="88">
        <f t="shared" si="18"/>
        <v>0</v>
      </c>
      <c r="I188" s="88">
        <f t="shared" si="18"/>
        <v>0</v>
      </c>
      <c r="J188" s="42"/>
      <c r="K188" s="35"/>
      <c r="L188" s="35"/>
      <c r="M188" s="36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</row>
    <row r="189" spans="1:29" ht="18" customHeight="1" hidden="1">
      <c r="A189" s="144" t="s">
        <v>434</v>
      </c>
      <c r="B189" s="103">
        <v>803</v>
      </c>
      <c r="C189" s="87" t="s">
        <v>793</v>
      </c>
      <c r="D189" s="87" t="s">
        <v>509</v>
      </c>
      <c r="E189" s="87" t="s">
        <v>435</v>
      </c>
      <c r="F189" s="87"/>
      <c r="G189" s="88">
        <f>G190</f>
        <v>0</v>
      </c>
      <c r="H189" s="88">
        <f t="shared" si="18"/>
        <v>0</v>
      </c>
      <c r="I189" s="88">
        <f t="shared" si="18"/>
        <v>0</v>
      </c>
      <c r="J189" s="42"/>
      <c r="K189" s="35"/>
      <c r="L189" s="35"/>
      <c r="M189" s="36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</row>
    <row r="190" spans="1:29" ht="1.5" customHeight="1" hidden="1">
      <c r="A190" s="124" t="s">
        <v>346</v>
      </c>
      <c r="B190" s="103">
        <v>803</v>
      </c>
      <c r="C190" s="87" t="s">
        <v>793</v>
      </c>
      <c r="D190" s="87" t="s">
        <v>509</v>
      </c>
      <c r="E190" s="87" t="s">
        <v>435</v>
      </c>
      <c r="F190" s="87" t="s">
        <v>197</v>
      </c>
      <c r="G190" s="88"/>
      <c r="H190" s="88"/>
      <c r="I190" s="88"/>
      <c r="J190" s="42"/>
      <c r="K190" s="35"/>
      <c r="L190" s="35"/>
      <c r="M190" s="36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</row>
    <row r="191" spans="1:29" ht="18" customHeight="1">
      <c r="A191" s="131" t="s">
        <v>390</v>
      </c>
      <c r="B191" s="103">
        <v>803</v>
      </c>
      <c r="C191" s="87" t="s">
        <v>42</v>
      </c>
      <c r="D191" s="87"/>
      <c r="E191" s="87"/>
      <c r="F191" s="87"/>
      <c r="G191" s="88">
        <f>SUM(G192,G217,G231,G210)</f>
        <v>562969.3999999999</v>
      </c>
      <c r="H191" s="88">
        <f>SUM(H192,H217,H231,H210)</f>
        <v>540979.1000000001</v>
      </c>
      <c r="I191" s="88">
        <f>SUM(I192,I217,I231,I210)</f>
        <v>570664.0999999999</v>
      </c>
      <c r="J191" s="42"/>
      <c r="K191" s="35"/>
      <c r="L191" s="35"/>
      <c r="M191" s="36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</row>
    <row r="192" spans="1:29" ht="18" customHeight="1">
      <c r="A192" s="131" t="s">
        <v>152</v>
      </c>
      <c r="B192" s="103">
        <v>803</v>
      </c>
      <c r="C192" s="87" t="s">
        <v>42</v>
      </c>
      <c r="D192" s="87" t="s">
        <v>790</v>
      </c>
      <c r="E192" s="87"/>
      <c r="F192" s="87"/>
      <c r="G192" s="88">
        <f>SUM(G193,G199,)</f>
        <v>52739.1</v>
      </c>
      <c r="H192" s="88">
        <f>SUM(H193,H199,)</f>
        <v>3834.2</v>
      </c>
      <c r="I192" s="88">
        <f>SUM(I193,I199,)</f>
        <v>3834.2</v>
      </c>
      <c r="J192" s="42"/>
      <c r="K192" s="35"/>
      <c r="L192" s="35"/>
      <c r="M192" s="36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</row>
    <row r="193" spans="1:29" s="48" customFormat="1" ht="36.75" customHeight="1" hidden="1">
      <c r="A193" s="131" t="s">
        <v>626</v>
      </c>
      <c r="B193" s="103">
        <v>803</v>
      </c>
      <c r="C193" s="87" t="s">
        <v>400</v>
      </c>
      <c r="D193" s="87" t="s">
        <v>790</v>
      </c>
      <c r="E193" s="87" t="s">
        <v>118</v>
      </c>
      <c r="F193" s="87"/>
      <c r="G193" s="88">
        <f>G194+G196</f>
        <v>29000</v>
      </c>
      <c r="H193" s="88">
        <f>H194+H196</f>
        <v>0</v>
      </c>
      <c r="I193" s="88">
        <f>I194+I196</f>
        <v>0</v>
      </c>
      <c r="J193" s="42"/>
      <c r="K193" s="35"/>
      <c r="L193" s="35"/>
      <c r="M193" s="36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</row>
    <row r="194" spans="1:29" s="49" customFormat="1" ht="50.25" customHeight="1" hidden="1">
      <c r="A194" s="131" t="s">
        <v>549</v>
      </c>
      <c r="B194" s="103">
        <v>803</v>
      </c>
      <c r="C194" s="87" t="s">
        <v>42</v>
      </c>
      <c r="D194" s="87" t="s">
        <v>790</v>
      </c>
      <c r="E194" s="87" t="s">
        <v>119</v>
      </c>
      <c r="F194" s="87"/>
      <c r="G194" s="88">
        <f>G195</f>
        <v>0</v>
      </c>
      <c r="H194" s="88">
        <f>H195</f>
        <v>0</v>
      </c>
      <c r="I194" s="88">
        <f>I195</f>
        <v>0</v>
      </c>
      <c r="J194" s="42"/>
      <c r="K194" s="35"/>
      <c r="L194" s="35"/>
      <c r="M194" s="36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</row>
    <row r="195" spans="1:29" ht="18.75" customHeight="1" hidden="1">
      <c r="A195" s="132" t="s">
        <v>542</v>
      </c>
      <c r="B195" s="103">
        <v>803</v>
      </c>
      <c r="C195" s="87" t="s">
        <v>42</v>
      </c>
      <c r="D195" s="87" t="s">
        <v>790</v>
      </c>
      <c r="E195" s="87" t="s">
        <v>119</v>
      </c>
      <c r="F195" s="107" t="s">
        <v>252</v>
      </c>
      <c r="G195" s="88"/>
      <c r="H195" s="88"/>
      <c r="I195" s="88"/>
      <c r="J195" s="42"/>
      <c r="K195" s="35"/>
      <c r="L195" s="35"/>
      <c r="M195" s="36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</row>
    <row r="196" spans="1:29" ht="38.25" customHeight="1" hidden="1">
      <c r="A196" s="131" t="s">
        <v>627</v>
      </c>
      <c r="B196" s="103">
        <v>803</v>
      </c>
      <c r="C196" s="87" t="s">
        <v>801</v>
      </c>
      <c r="D196" s="87" t="s">
        <v>790</v>
      </c>
      <c r="E196" s="87" t="s">
        <v>261</v>
      </c>
      <c r="F196" s="87"/>
      <c r="G196" s="88">
        <f aca="true" t="shared" si="19" ref="G196:I197">SUM(G197)</f>
        <v>29000</v>
      </c>
      <c r="H196" s="88">
        <f t="shared" si="19"/>
        <v>0</v>
      </c>
      <c r="I196" s="88">
        <f t="shared" si="19"/>
        <v>0</v>
      </c>
      <c r="J196" s="42"/>
      <c r="K196" s="35"/>
      <c r="L196" s="35"/>
      <c r="M196" s="36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</row>
    <row r="197" spans="1:29" ht="36.75" customHeight="1" hidden="1">
      <c r="A197" s="131" t="s">
        <v>226</v>
      </c>
      <c r="B197" s="103">
        <v>803</v>
      </c>
      <c r="C197" s="87" t="s">
        <v>400</v>
      </c>
      <c r="D197" s="87" t="s">
        <v>790</v>
      </c>
      <c r="E197" s="87" t="s">
        <v>120</v>
      </c>
      <c r="F197" s="87"/>
      <c r="G197" s="88">
        <f t="shared" si="19"/>
        <v>29000</v>
      </c>
      <c r="H197" s="88">
        <f t="shared" si="19"/>
        <v>0</v>
      </c>
      <c r="I197" s="88">
        <f t="shared" si="19"/>
        <v>0</v>
      </c>
      <c r="J197" s="42"/>
      <c r="K197" s="35"/>
      <c r="L197" s="35"/>
      <c r="M197" s="36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</row>
    <row r="198" spans="1:36" s="48" customFormat="1" ht="20.25" customHeight="1" hidden="1">
      <c r="A198" s="132" t="s">
        <v>628</v>
      </c>
      <c r="B198" s="103">
        <v>803</v>
      </c>
      <c r="C198" s="87" t="s">
        <v>400</v>
      </c>
      <c r="D198" s="87" t="s">
        <v>790</v>
      </c>
      <c r="E198" s="87" t="s">
        <v>120</v>
      </c>
      <c r="F198" s="87" t="s">
        <v>252</v>
      </c>
      <c r="G198" s="88">
        <v>29000</v>
      </c>
      <c r="H198" s="88"/>
      <c r="I198" s="88"/>
      <c r="J198" s="42"/>
      <c r="K198" s="35"/>
      <c r="L198" s="35"/>
      <c r="M198" s="36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</row>
    <row r="199" spans="1:36" ht="18" customHeight="1">
      <c r="A199" s="131" t="s">
        <v>629</v>
      </c>
      <c r="B199" s="103">
        <v>803</v>
      </c>
      <c r="C199" s="87" t="s">
        <v>42</v>
      </c>
      <c r="D199" s="87" t="s">
        <v>790</v>
      </c>
      <c r="E199" s="87" t="s">
        <v>396</v>
      </c>
      <c r="F199" s="87"/>
      <c r="G199" s="88">
        <f>SUM(G200,G203,G205,G208)</f>
        <v>23739.1</v>
      </c>
      <c r="H199" s="88">
        <f>SUM(H200,H203,H205,H208)</f>
        <v>3834.2</v>
      </c>
      <c r="I199" s="88">
        <f>SUM(I200,I203,I205,I208)</f>
        <v>3834.2</v>
      </c>
      <c r="J199" s="42"/>
      <c r="K199" s="35"/>
      <c r="L199" s="35"/>
      <c r="M199" s="36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</row>
    <row r="200" spans="1:29" ht="19.5" customHeight="1" hidden="1">
      <c r="A200" s="131" t="s">
        <v>109</v>
      </c>
      <c r="B200" s="103">
        <v>803</v>
      </c>
      <c r="C200" s="87" t="s">
        <v>42</v>
      </c>
      <c r="D200" s="87" t="s">
        <v>790</v>
      </c>
      <c r="E200" s="87" t="s">
        <v>395</v>
      </c>
      <c r="F200" s="87"/>
      <c r="G200" s="88">
        <f>G201+G202</f>
        <v>9904.9</v>
      </c>
      <c r="H200" s="88">
        <f>H201+H202</f>
        <v>0</v>
      </c>
      <c r="I200" s="88">
        <f>I201+I202</f>
        <v>0</v>
      </c>
      <c r="J200" s="42"/>
      <c r="K200" s="35"/>
      <c r="L200" s="35"/>
      <c r="M200" s="36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</row>
    <row r="201" spans="1:29" ht="18" customHeight="1" hidden="1">
      <c r="A201" s="132" t="s">
        <v>628</v>
      </c>
      <c r="B201" s="103">
        <v>803</v>
      </c>
      <c r="C201" s="87" t="s">
        <v>42</v>
      </c>
      <c r="D201" s="87" t="s">
        <v>790</v>
      </c>
      <c r="E201" s="87" t="s">
        <v>395</v>
      </c>
      <c r="F201" s="87" t="s">
        <v>252</v>
      </c>
      <c r="G201" s="88">
        <v>4629.9</v>
      </c>
      <c r="H201" s="88"/>
      <c r="I201" s="88"/>
      <c r="J201" s="42"/>
      <c r="K201" s="35"/>
      <c r="L201" s="35"/>
      <c r="M201" s="36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</row>
    <row r="202" spans="1:29" ht="18" customHeight="1" hidden="1">
      <c r="A202" s="125" t="s">
        <v>346</v>
      </c>
      <c r="B202" s="103">
        <v>803</v>
      </c>
      <c r="C202" s="87" t="s">
        <v>42</v>
      </c>
      <c r="D202" s="87" t="s">
        <v>790</v>
      </c>
      <c r="E202" s="87" t="s">
        <v>395</v>
      </c>
      <c r="F202" s="87" t="s">
        <v>197</v>
      </c>
      <c r="G202" s="88">
        <v>5275</v>
      </c>
      <c r="H202" s="88"/>
      <c r="I202" s="88"/>
      <c r="J202" s="42"/>
      <c r="K202" s="35"/>
      <c r="L202" s="35"/>
      <c r="M202" s="36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</row>
    <row r="203" spans="1:29" ht="35.25" customHeight="1">
      <c r="A203" s="131" t="s">
        <v>449</v>
      </c>
      <c r="B203" s="103">
        <v>803</v>
      </c>
      <c r="C203" s="87" t="s">
        <v>42</v>
      </c>
      <c r="D203" s="87" t="s">
        <v>790</v>
      </c>
      <c r="E203" s="87" t="s">
        <v>397</v>
      </c>
      <c r="F203" s="87"/>
      <c r="G203" s="88">
        <f>SUM(G204)</f>
        <v>3834.2</v>
      </c>
      <c r="H203" s="88">
        <f>SUM(H204)</f>
        <v>3834.2</v>
      </c>
      <c r="I203" s="88">
        <f>SUM(I204)</f>
        <v>3834.2</v>
      </c>
      <c r="J203" s="42"/>
      <c r="K203" s="35"/>
      <c r="L203" s="35"/>
      <c r="M203" s="36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</row>
    <row r="204" spans="1:29" ht="20.25" customHeight="1">
      <c r="A204" s="132" t="s">
        <v>628</v>
      </c>
      <c r="B204" s="103">
        <v>803</v>
      </c>
      <c r="C204" s="87" t="s">
        <v>42</v>
      </c>
      <c r="D204" s="87" t="s">
        <v>790</v>
      </c>
      <c r="E204" s="87" t="s">
        <v>397</v>
      </c>
      <c r="F204" s="87" t="s">
        <v>252</v>
      </c>
      <c r="G204" s="88">
        <v>3834.2</v>
      </c>
      <c r="H204" s="88">
        <v>3834.2</v>
      </c>
      <c r="I204" s="88">
        <v>3834.2</v>
      </c>
      <c r="J204" s="42"/>
      <c r="K204" s="35"/>
      <c r="L204" s="35"/>
      <c r="M204" s="36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</row>
    <row r="205" spans="1:29" ht="18" customHeight="1" hidden="1">
      <c r="A205" s="131" t="s">
        <v>835</v>
      </c>
      <c r="B205" s="103">
        <v>803</v>
      </c>
      <c r="C205" s="87" t="s">
        <v>42</v>
      </c>
      <c r="D205" s="87" t="s">
        <v>790</v>
      </c>
      <c r="E205" s="87" t="s">
        <v>398</v>
      </c>
      <c r="F205" s="87"/>
      <c r="G205" s="88">
        <f>SUM(G206:G207)</f>
        <v>0</v>
      </c>
      <c r="H205" s="88">
        <f>SUM(H206:H207)</f>
        <v>0</v>
      </c>
      <c r="I205" s="88">
        <f>SUM(I206:I207)</f>
        <v>0</v>
      </c>
      <c r="J205" s="42"/>
      <c r="K205" s="35"/>
      <c r="L205" s="35"/>
      <c r="M205" s="36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</row>
    <row r="206" spans="1:29" ht="18" customHeight="1" hidden="1">
      <c r="A206" s="132" t="s">
        <v>542</v>
      </c>
      <c r="B206" s="103">
        <v>803</v>
      </c>
      <c r="C206" s="87" t="s">
        <v>42</v>
      </c>
      <c r="D206" s="87" t="s">
        <v>790</v>
      </c>
      <c r="E206" s="87" t="s">
        <v>398</v>
      </c>
      <c r="F206" s="87" t="s">
        <v>252</v>
      </c>
      <c r="G206" s="88"/>
      <c r="H206" s="88"/>
      <c r="I206" s="88"/>
      <c r="J206" s="42"/>
      <c r="K206" s="35"/>
      <c r="L206" s="35"/>
      <c r="M206" s="36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</row>
    <row r="207" spans="1:29" ht="17.25" customHeight="1" hidden="1">
      <c r="A207" s="132" t="s">
        <v>237</v>
      </c>
      <c r="B207" s="103">
        <v>803</v>
      </c>
      <c r="C207" s="87" t="s">
        <v>42</v>
      </c>
      <c r="D207" s="87" t="s">
        <v>790</v>
      </c>
      <c r="E207" s="87" t="s">
        <v>398</v>
      </c>
      <c r="F207" s="87" t="s">
        <v>238</v>
      </c>
      <c r="G207" s="88"/>
      <c r="H207" s="88"/>
      <c r="I207" s="88"/>
      <c r="J207" s="42"/>
      <c r="K207" s="35"/>
      <c r="L207" s="35"/>
      <c r="M207" s="36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</row>
    <row r="208" spans="1:29" ht="54.75" customHeight="1" hidden="1">
      <c r="A208" s="131" t="s">
        <v>421</v>
      </c>
      <c r="B208" s="103">
        <v>803</v>
      </c>
      <c r="C208" s="87" t="s">
        <v>42</v>
      </c>
      <c r="D208" s="87" t="s">
        <v>790</v>
      </c>
      <c r="E208" s="87" t="s">
        <v>422</v>
      </c>
      <c r="F208" s="87"/>
      <c r="G208" s="88">
        <f>G209</f>
        <v>10000</v>
      </c>
      <c r="H208" s="88">
        <f>H209</f>
        <v>0</v>
      </c>
      <c r="I208" s="88">
        <f>I209</f>
        <v>0</v>
      </c>
      <c r="J208" s="42"/>
      <c r="K208" s="35"/>
      <c r="L208" s="35"/>
      <c r="M208" s="36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</row>
    <row r="209" spans="1:29" ht="17.25" customHeight="1" hidden="1">
      <c r="A209" s="132" t="s">
        <v>628</v>
      </c>
      <c r="B209" s="103">
        <v>803</v>
      </c>
      <c r="C209" s="87" t="s">
        <v>42</v>
      </c>
      <c r="D209" s="87" t="s">
        <v>790</v>
      </c>
      <c r="E209" s="87" t="s">
        <v>422</v>
      </c>
      <c r="F209" s="87" t="s">
        <v>252</v>
      </c>
      <c r="G209" s="88">
        <v>10000</v>
      </c>
      <c r="H209" s="88"/>
      <c r="I209" s="88"/>
      <c r="J209" s="42"/>
      <c r="K209" s="35"/>
      <c r="L209" s="35"/>
      <c r="M209" s="36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</row>
    <row r="210" spans="1:29" ht="17.25" customHeight="1">
      <c r="A210" s="132" t="s">
        <v>630</v>
      </c>
      <c r="B210" s="103">
        <v>803</v>
      </c>
      <c r="C210" s="87" t="s">
        <v>42</v>
      </c>
      <c r="D210" s="87" t="s">
        <v>791</v>
      </c>
      <c r="E210" s="87"/>
      <c r="F210" s="87"/>
      <c r="G210" s="88">
        <f>G211+G214</f>
        <v>3500</v>
      </c>
      <c r="H210" s="88">
        <f>H211+H214</f>
        <v>2300</v>
      </c>
      <c r="I210" s="88">
        <f>I211+I214</f>
        <v>4320</v>
      </c>
      <c r="J210" s="42"/>
      <c r="K210" s="35"/>
      <c r="L210" s="35"/>
      <c r="M210" s="36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</row>
    <row r="211" spans="1:29" ht="17.25" customHeight="1" hidden="1">
      <c r="A211" s="131" t="s">
        <v>632</v>
      </c>
      <c r="B211" s="103">
        <v>803</v>
      </c>
      <c r="C211" s="87" t="s">
        <v>42</v>
      </c>
      <c r="D211" s="87" t="s">
        <v>791</v>
      </c>
      <c r="E211" s="87" t="s">
        <v>201</v>
      </c>
      <c r="F211" s="87"/>
      <c r="G211" s="88">
        <f aca="true" t="shared" si="20" ref="G211:I212">G212</f>
        <v>3500</v>
      </c>
      <c r="H211" s="88">
        <f t="shared" si="20"/>
        <v>0</v>
      </c>
      <c r="I211" s="88">
        <f t="shared" si="20"/>
        <v>0</v>
      </c>
      <c r="J211" s="42"/>
      <c r="K211" s="35"/>
      <c r="L211" s="35"/>
      <c r="M211" s="36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</row>
    <row r="212" spans="1:29" ht="36" customHeight="1" hidden="1">
      <c r="A212" s="131" t="s">
        <v>81</v>
      </c>
      <c r="B212" s="103">
        <v>803</v>
      </c>
      <c r="C212" s="87" t="s">
        <v>42</v>
      </c>
      <c r="D212" s="87" t="s">
        <v>791</v>
      </c>
      <c r="E212" s="87" t="s">
        <v>202</v>
      </c>
      <c r="F212" s="87"/>
      <c r="G212" s="88">
        <f t="shared" si="20"/>
        <v>3500</v>
      </c>
      <c r="H212" s="88">
        <f t="shared" si="20"/>
        <v>0</v>
      </c>
      <c r="I212" s="88">
        <f t="shared" si="20"/>
        <v>0</v>
      </c>
      <c r="J212" s="42"/>
      <c r="K212" s="35"/>
      <c r="L212" s="35"/>
      <c r="M212" s="36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</row>
    <row r="213" spans="1:29" ht="17.25" customHeight="1" hidden="1">
      <c r="A213" s="132" t="s">
        <v>628</v>
      </c>
      <c r="B213" s="103">
        <v>803</v>
      </c>
      <c r="C213" s="87" t="s">
        <v>42</v>
      </c>
      <c r="D213" s="87" t="s">
        <v>791</v>
      </c>
      <c r="E213" s="87" t="s">
        <v>202</v>
      </c>
      <c r="F213" s="87" t="s">
        <v>252</v>
      </c>
      <c r="G213" s="88">
        <v>3500</v>
      </c>
      <c r="H213" s="88"/>
      <c r="I213" s="88"/>
      <c r="J213" s="42"/>
      <c r="K213" s="35"/>
      <c r="L213" s="35"/>
      <c r="M213" s="36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</row>
    <row r="214" spans="1:29" ht="17.25" customHeight="1">
      <c r="A214" s="124" t="s">
        <v>380</v>
      </c>
      <c r="B214" s="103">
        <v>803</v>
      </c>
      <c r="C214" s="87" t="s">
        <v>42</v>
      </c>
      <c r="D214" s="87" t="s">
        <v>791</v>
      </c>
      <c r="E214" s="87" t="s">
        <v>381</v>
      </c>
      <c r="F214" s="87"/>
      <c r="G214" s="88">
        <f aca="true" t="shared" si="21" ref="G214:I215">G215</f>
        <v>0</v>
      </c>
      <c r="H214" s="88">
        <f t="shared" si="21"/>
        <v>2300</v>
      </c>
      <c r="I214" s="88">
        <f t="shared" si="21"/>
        <v>4320</v>
      </c>
      <c r="J214" s="42"/>
      <c r="K214" s="35"/>
      <c r="L214" s="35"/>
      <c r="M214" s="36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</row>
    <row r="215" spans="1:29" ht="49.5" customHeight="1">
      <c r="A215" s="132" t="s">
        <v>681</v>
      </c>
      <c r="B215" s="103">
        <v>803</v>
      </c>
      <c r="C215" s="87" t="s">
        <v>42</v>
      </c>
      <c r="D215" s="87" t="s">
        <v>791</v>
      </c>
      <c r="E215" s="87" t="s">
        <v>431</v>
      </c>
      <c r="F215" s="87"/>
      <c r="G215" s="88">
        <f t="shared" si="21"/>
        <v>0</v>
      </c>
      <c r="H215" s="88">
        <f t="shared" si="21"/>
        <v>2300</v>
      </c>
      <c r="I215" s="88">
        <f t="shared" si="21"/>
        <v>4320</v>
      </c>
      <c r="J215" s="42"/>
      <c r="K215" s="35"/>
      <c r="L215" s="35"/>
      <c r="M215" s="36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</row>
    <row r="216" spans="1:29" ht="17.25" customHeight="1">
      <c r="A216" s="125" t="s">
        <v>346</v>
      </c>
      <c r="B216" s="103">
        <v>803</v>
      </c>
      <c r="C216" s="87" t="s">
        <v>42</v>
      </c>
      <c r="D216" s="87" t="s">
        <v>791</v>
      </c>
      <c r="E216" s="87" t="s">
        <v>431</v>
      </c>
      <c r="F216" s="87" t="s">
        <v>197</v>
      </c>
      <c r="G216" s="88"/>
      <c r="H216" s="88">
        <v>2300</v>
      </c>
      <c r="I216" s="88">
        <v>4320</v>
      </c>
      <c r="J216" s="42"/>
      <c r="K216" s="35"/>
      <c r="L216" s="35"/>
      <c r="M216" s="36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</row>
    <row r="217" spans="1:29" ht="21" customHeight="1">
      <c r="A217" s="132" t="s">
        <v>111</v>
      </c>
      <c r="B217" s="103">
        <v>803</v>
      </c>
      <c r="C217" s="87" t="s">
        <v>42</v>
      </c>
      <c r="D217" s="87" t="s">
        <v>792</v>
      </c>
      <c r="E217" s="87"/>
      <c r="F217" s="87"/>
      <c r="G217" s="88">
        <f>SUM(,G218,)</f>
        <v>490757.6</v>
      </c>
      <c r="H217" s="88">
        <f>SUM(,H218,)</f>
        <v>518861.4</v>
      </c>
      <c r="I217" s="88">
        <f>SUM(,I218,)</f>
        <v>546516.0999999999</v>
      </c>
      <c r="J217" s="42"/>
      <c r="K217" s="35"/>
      <c r="L217" s="35"/>
      <c r="M217" s="36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</row>
    <row r="218" spans="1:29" ht="18" customHeight="1">
      <c r="A218" s="140" t="s">
        <v>402</v>
      </c>
      <c r="B218" s="103">
        <v>803</v>
      </c>
      <c r="C218" s="87" t="s">
        <v>42</v>
      </c>
      <c r="D218" s="87" t="s">
        <v>792</v>
      </c>
      <c r="E218" s="87" t="s">
        <v>403</v>
      </c>
      <c r="F218" s="87"/>
      <c r="G218" s="88">
        <f>G219+G222+G225+G227</f>
        <v>490757.6</v>
      </c>
      <c r="H218" s="88">
        <f>H219+H222+H225+H227</f>
        <v>518861.4</v>
      </c>
      <c r="I218" s="88">
        <f>I219+I222+I225+I227</f>
        <v>546516.0999999999</v>
      </c>
      <c r="J218" s="42"/>
      <c r="K218" s="35"/>
      <c r="L218" s="35"/>
      <c r="M218" s="36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</row>
    <row r="219" spans="1:29" ht="18" customHeight="1">
      <c r="A219" s="131" t="s">
        <v>469</v>
      </c>
      <c r="B219" s="103">
        <v>803</v>
      </c>
      <c r="C219" s="87" t="s">
        <v>42</v>
      </c>
      <c r="D219" s="87" t="s">
        <v>792</v>
      </c>
      <c r="E219" s="87" t="s">
        <v>404</v>
      </c>
      <c r="F219" s="87"/>
      <c r="G219" s="88">
        <f>G220+G221</f>
        <v>53995.2</v>
      </c>
      <c r="H219" s="88">
        <f>H220+H221</f>
        <v>59658.3</v>
      </c>
      <c r="I219" s="88">
        <f>I220+I221</f>
        <v>65921.4</v>
      </c>
      <c r="J219" s="42"/>
      <c r="K219" s="35"/>
      <c r="L219" s="35"/>
      <c r="M219" s="36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</row>
    <row r="220" spans="1:29" ht="18" customHeight="1">
      <c r="A220" s="132" t="s">
        <v>628</v>
      </c>
      <c r="B220" s="103">
        <v>803</v>
      </c>
      <c r="C220" s="87" t="s">
        <v>42</v>
      </c>
      <c r="D220" s="87" t="s">
        <v>792</v>
      </c>
      <c r="E220" s="87" t="s">
        <v>404</v>
      </c>
      <c r="F220" s="87" t="s">
        <v>252</v>
      </c>
      <c r="G220" s="88">
        <v>24360.7</v>
      </c>
      <c r="H220" s="88">
        <v>25578.7</v>
      </c>
      <c r="I220" s="88">
        <v>26729.8</v>
      </c>
      <c r="J220" s="42"/>
      <c r="K220" s="35"/>
      <c r="L220" s="35"/>
      <c r="M220" s="36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</row>
    <row r="221" spans="1:29" ht="18" customHeight="1">
      <c r="A221" s="124" t="s">
        <v>346</v>
      </c>
      <c r="B221" s="103">
        <v>803</v>
      </c>
      <c r="C221" s="87" t="s">
        <v>42</v>
      </c>
      <c r="D221" s="87" t="s">
        <v>792</v>
      </c>
      <c r="E221" s="87" t="s">
        <v>404</v>
      </c>
      <c r="F221" s="87" t="s">
        <v>197</v>
      </c>
      <c r="G221" s="88">
        <v>29634.5</v>
      </c>
      <c r="H221" s="88">
        <v>34079.6</v>
      </c>
      <c r="I221" s="88">
        <v>39191.6</v>
      </c>
      <c r="J221" s="42"/>
      <c r="K221" s="35"/>
      <c r="L221" s="35"/>
      <c r="M221" s="36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</row>
    <row r="222" spans="1:29" ht="36" customHeight="1">
      <c r="A222" s="132" t="s">
        <v>405</v>
      </c>
      <c r="B222" s="103">
        <v>803</v>
      </c>
      <c r="C222" s="87" t="s">
        <v>42</v>
      </c>
      <c r="D222" s="87" t="s">
        <v>792</v>
      </c>
      <c r="E222" s="87" t="s">
        <v>406</v>
      </c>
      <c r="F222" s="87"/>
      <c r="G222" s="88">
        <f>G223+G224</f>
        <v>419035.89999999997</v>
      </c>
      <c r="H222" s="88">
        <f>H223+H224</f>
        <v>440585.9</v>
      </c>
      <c r="I222" s="88">
        <f>I223+I224</f>
        <v>461134.39999999997</v>
      </c>
      <c r="J222" s="42"/>
      <c r="K222" s="35"/>
      <c r="L222" s="35"/>
      <c r="M222" s="36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</row>
    <row r="223" spans="1:29" ht="20.25" customHeight="1">
      <c r="A223" s="132" t="s">
        <v>628</v>
      </c>
      <c r="B223" s="103">
        <v>803</v>
      </c>
      <c r="C223" s="87" t="s">
        <v>42</v>
      </c>
      <c r="D223" s="87" t="s">
        <v>792</v>
      </c>
      <c r="E223" s="87" t="s">
        <v>406</v>
      </c>
      <c r="F223" s="87" t="s">
        <v>252</v>
      </c>
      <c r="G223" s="88">
        <v>2493.6</v>
      </c>
      <c r="H223" s="88">
        <v>2618.2</v>
      </c>
      <c r="I223" s="88">
        <v>2736.1</v>
      </c>
      <c r="J223" s="42"/>
      <c r="K223" s="35"/>
      <c r="L223" s="35"/>
      <c r="M223" s="36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</row>
    <row r="224" spans="1:29" ht="18" customHeight="1">
      <c r="A224" s="124" t="s">
        <v>346</v>
      </c>
      <c r="B224" s="103">
        <v>803</v>
      </c>
      <c r="C224" s="87" t="s">
        <v>42</v>
      </c>
      <c r="D224" s="87" t="s">
        <v>792</v>
      </c>
      <c r="E224" s="87" t="s">
        <v>406</v>
      </c>
      <c r="F224" s="87" t="s">
        <v>197</v>
      </c>
      <c r="G224" s="88">
        <v>416542.3</v>
      </c>
      <c r="H224" s="88">
        <v>437967.7</v>
      </c>
      <c r="I224" s="88">
        <v>458398.3</v>
      </c>
      <c r="J224" s="42"/>
      <c r="K224" s="35"/>
      <c r="L224" s="35"/>
      <c r="M224" s="36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</row>
    <row r="225" spans="1:29" ht="18" customHeight="1">
      <c r="A225" s="132" t="s">
        <v>407</v>
      </c>
      <c r="B225" s="103">
        <v>803</v>
      </c>
      <c r="C225" s="87" t="s">
        <v>42</v>
      </c>
      <c r="D225" s="87" t="s">
        <v>792</v>
      </c>
      <c r="E225" s="87" t="s">
        <v>408</v>
      </c>
      <c r="F225" s="87"/>
      <c r="G225" s="88">
        <f>SUM(G226)</f>
        <v>15026.4</v>
      </c>
      <c r="H225" s="88">
        <f>SUM(H226)</f>
        <v>15777.7</v>
      </c>
      <c r="I225" s="88">
        <f>SUM(I226)</f>
        <v>16487.7</v>
      </c>
      <c r="J225" s="42"/>
      <c r="K225" s="35"/>
      <c r="L225" s="35"/>
      <c r="M225" s="36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</row>
    <row r="226" spans="1:29" ht="18" customHeight="1">
      <c r="A226" s="124" t="s">
        <v>346</v>
      </c>
      <c r="B226" s="103">
        <v>803</v>
      </c>
      <c r="C226" s="87" t="s">
        <v>42</v>
      </c>
      <c r="D226" s="87" t="s">
        <v>792</v>
      </c>
      <c r="E226" s="87" t="s">
        <v>408</v>
      </c>
      <c r="F226" s="87" t="s">
        <v>197</v>
      </c>
      <c r="G226" s="88">
        <v>15026.4</v>
      </c>
      <c r="H226" s="88">
        <v>15777.7</v>
      </c>
      <c r="I226" s="88">
        <v>16487.7</v>
      </c>
      <c r="J226" s="42"/>
      <c r="K226" s="35"/>
      <c r="L226" s="35"/>
      <c r="M226" s="36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</row>
    <row r="227" spans="1:29" ht="18" customHeight="1">
      <c r="A227" s="132" t="s">
        <v>507</v>
      </c>
      <c r="B227" s="103">
        <v>803</v>
      </c>
      <c r="C227" s="87" t="s">
        <v>42</v>
      </c>
      <c r="D227" s="87" t="s">
        <v>792</v>
      </c>
      <c r="E227" s="87" t="s">
        <v>409</v>
      </c>
      <c r="F227" s="87"/>
      <c r="G227" s="88">
        <f>SUM(G228)</f>
        <v>2700.1</v>
      </c>
      <c r="H227" s="88">
        <f>SUM(H228)</f>
        <v>2839.5</v>
      </c>
      <c r="I227" s="88">
        <f>SUM(I228)</f>
        <v>2972.6</v>
      </c>
      <c r="J227" s="42"/>
      <c r="K227" s="35"/>
      <c r="L227" s="35"/>
      <c r="M227" s="36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</row>
    <row r="228" spans="1:29" ht="21" customHeight="1">
      <c r="A228" s="124" t="s">
        <v>346</v>
      </c>
      <c r="B228" s="103">
        <v>803</v>
      </c>
      <c r="C228" s="87" t="s">
        <v>42</v>
      </c>
      <c r="D228" s="87" t="s">
        <v>792</v>
      </c>
      <c r="E228" s="87" t="s">
        <v>409</v>
      </c>
      <c r="F228" s="87" t="s">
        <v>197</v>
      </c>
      <c r="G228" s="88">
        <v>2700.1</v>
      </c>
      <c r="H228" s="88">
        <v>2839.5</v>
      </c>
      <c r="I228" s="88">
        <v>2972.6</v>
      </c>
      <c r="J228" s="42"/>
      <c r="K228" s="35"/>
      <c r="L228" s="35"/>
      <c r="M228" s="36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</row>
    <row r="229" spans="1:29" ht="19.5" customHeight="1" hidden="1">
      <c r="A229" s="132" t="s">
        <v>468</v>
      </c>
      <c r="B229" s="103">
        <v>803</v>
      </c>
      <c r="C229" s="87" t="s">
        <v>42</v>
      </c>
      <c r="D229" s="87" t="s">
        <v>792</v>
      </c>
      <c r="E229" s="87" t="s">
        <v>410</v>
      </c>
      <c r="F229" s="87"/>
      <c r="G229" s="88">
        <f>SUM(G230)</f>
        <v>0</v>
      </c>
      <c r="H229" s="88">
        <f>SUM(H230)</f>
        <v>0</v>
      </c>
      <c r="I229" s="88">
        <f>SUM(I230)</f>
        <v>0</v>
      </c>
      <c r="J229" s="42"/>
      <c r="K229" s="35"/>
      <c r="L229" s="35"/>
      <c r="M229" s="36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</row>
    <row r="230" spans="1:29" ht="18" customHeight="1" hidden="1">
      <c r="A230" s="124" t="s">
        <v>346</v>
      </c>
      <c r="B230" s="103">
        <v>803</v>
      </c>
      <c r="C230" s="87" t="s">
        <v>42</v>
      </c>
      <c r="D230" s="87" t="s">
        <v>792</v>
      </c>
      <c r="E230" s="87" t="s">
        <v>410</v>
      </c>
      <c r="F230" s="87" t="s">
        <v>197</v>
      </c>
      <c r="G230" s="88"/>
      <c r="H230" s="88"/>
      <c r="I230" s="88"/>
      <c r="J230" s="42"/>
      <c r="K230" s="35"/>
      <c r="L230" s="35"/>
      <c r="M230" s="36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</row>
    <row r="231" spans="1:29" ht="18" customHeight="1">
      <c r="A231" s="131" t="s">
        <v>411</v>
      </c>
      <c r="B231" s="103">
        <v>803</v>
      </c>
      <c r="C231" s="87" t="s">
        <v>42</v>
      </c>
      <c r="D231" s="87" t="s">
        <v>42</v>
      </c>
      <c r="E231" s="87"/>
      <c r="F231" s="87"/>
      <c r="G231" s="88">
        <f>G234</f>
        <v>15972.699999999999</v>
      </c>
      <c r="H231" s="88">
        <f>H234</f>
        <v>15983.5</v>
      </c>
      <c r="I231" s="88">
        <f>I234</f>
        <v>15993.8</v>
      </c>
      <c r="J231" s="42"/>
      <c r="K231" s="35"/>
      <c r="L231" s="35"/>
      <c r="M231" s="36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</row>
    <row r="232" spans="1:29" ht="51" customHeight="1">
      <c r="A232" s="125" t="s">
        <v>26</v>
      </c>
      <c r="B232" s="103">
        <v>803</v>
      </c>
      <c r="C232" s="87" t="s">
        <v>42</v>
      </c>
      <c r="D232" s="87" t="s">
        <v>42</v>
      </c>
      <c r="E232" s="87" t="s">
        <v>27</v>
      </c>
      <c r="F232" s="87"/>
      <c r="G232" s="88">
        <f aca="true" t="shared" si="22" ref="G232:I233">SUM(G233)</f>
        <v>15972.699999999999</v>
      </c>
      <c r="H232" s="88">
        <f t="shared" si="22"/>
        <v>15983.5</v>
      </c>
      <c r="I232" s="88">
        <f t="shared" si="22"/>
        <v>15993.8</v>
      </c>
      <c r="J232" s="42"/>
      <c r="K232" s="35"/>
      <c r="L232" s="35"/>
      <c r="M232" s="36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</row>
    <row r="233" spans="1:29" ht="19.5" customHeight="1">
      <c r="A233" s="125" t="s">
        <v>560</v>
      </c>
      <c r="B233" s="103">
        <v>803</v>
      </c>
      <c r="C233" s="87" t="s">
        <v>42</v>
      </c>
      <c r="D233" s="87" t="s">
        <v>42</v>
      </c>
      <c r="E233" s="87" t="s">
        <v>29</v>
      </c>
      <c r="F233" s="87"/>
      <c r="G233" s="88">
        <f t="shared" si="22"/>
        <v>15972.699999999999</v>
      </c>
      <c r="H233" s="88">
        <f t="shared" si="22"/>
        <v>15983.5</v>
      </c>
      <c r="I233" s="88">
        <f t="shared" si="22"/>
        <v>15993.8</v>
      </c>
      <c r="J233" s="42"/>
      <c r="K233" s="35"/>
      <c r="L233" s="35"/>
      <c r="M233" s="36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</row>
    <row r="234" spans="1:29" s="48" customFormat="1" ht="18" customHeight="1">
      <c r="A234" s="124" t="s">
        <v>690</v>
      </c>
      <c r="B234" s="103">
        <v>803</v>
      </c>
      <c r="C234" s="87" t="s">
        <v>42</v>
      </c>
      <c r="D234" s="87" t="s">
        <v>42</v>
      </c>
      <c r="E234" s="87" t="s">
        <v>29</v>
      </c>
      <c r="F234" s="87" t="s">
        <v>197</v>
      </c>
      <c r="G234" s="88">
        <f>15295.3+723.5-46.1</f>
        <v>15972.699999999999</v>
      </c>
      <c r="H234" s="88">
        <f>15306.1+723.5-46.1</f>
        <v>15983.5</v>
      </c>
      <c r="I234" s="88">
        <f>15316.4+723.5-46.1</f>
        <v>15993.8</v>
      </c>
      <c r="J234" s="42"/>
      <c r="K234" s="35"/>
      <c r="L234" s="35"/>
      <c r="M234" s="36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</row>
    <row r="235" spans="1:29" s="50" customFormat="1" ht="18" customHeight="1" hidden="1">
      <c r="A235" s="131" t="s">
        <v>364</v>
      </c>
      <c r="B235" s="103">
        <v>803</v>
      </c>
      <c r="C235" s="87" t="s">
        <v>508</v>
      </c>
      <c r="D235" s="87"/>
      <c r="E235" s="87"/>
      <c r="F235" s="87"/>
      <c r="G235" s="88">
        <f>G236</f>
        <v>0</v>
      </c>
      <c r="H235" s="88">
        <f aca="true" t="shared" si="23" ref="H235:I238">H236</f>
        <v>0</v>
      </c>
      <c r="I235" s="88">
        <f t="shared" si="23"/>
        <v>0</v>
      </c>
      <c r="J235" s="42"/>
      <c r="K235" s="35"/>
      <c r="L235" s="35"/>
      <c r="M235" s="36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</row>
    <row r="236" spans="1:29" s="50" customFormat="1" ht="18" customHeight="1" hidden="1">
      <c r="A236" s="131" t="s">
        <v>231</v>
      </c>
      <c r="B236" s="103">
        <v>803</v>
      </c>
      <c r="C236" s="87" t="s">
        <v>508</v>
      </c>
      <c r="D236" s="87" t="s">
        <v>508</v>
      </c>
      <c r="E236" s="87"/>
      <c r="F236" s="87"/>
      <c r="G236" s="88">
        <f>G237</f>
        <v>0</v>
      </c>
      <c r="H236" s="88">
        <f t="shared" si="23"/>
        <v>0</v>
      </c>
      <c r="I236" s="88">
        <f t="shared" si="23"/>
        <v>0</v>
      </c>
      <c r="J236" s="42"/>
      <c r="K236" s="35"/>
      <c r="L236" s="35"/>
      <c r="M236" s="36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</row>
    <row r="237" spans="1:29" s="50" customFormat="1" ht="18" customHeight="1" hidden="1">
      <c r="A237" s="125" t="s">
        <v>209</v>
      </c>
      <c r="B237" s="103">
        <v>803</v>
      </c>
      <c r="C237" s="87" t="s">
        <v>508</v>
      </c>
      <c r="D237" s="87" t="s">
        <v>508</v>
      </c>
      <c r="E237" s="87" t="s">
        <v>473</v>
      </c>
      <c r="F237" s="87"/>
      <c r="G237" s="88">
        <f>G238</f>
        <v>0</v>
      </c>
      <c r="H237" s="88">
        <f t="shared" si="23"/>
        <v>0</v>
      </c>
      <c r="I237" s="88">
        <f t="shared" si="23"/>
        <v>0</v>
      </c>
      <c r="J237" s="42"/>
      <c r="K237" s="35"/>
      <c r="L237" s="35"/>
      <c r="M237" s="36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</row>
    <row r="238" spans="1:29" s="50" customFormat="1" ht="18" customHeight="1" hidden="1">
      <c r="A238" s="140" t="s">
        <v>301</v>
      </c>
      <c r="B238" s="103">
        <v>803</v>
      </c>
      <c r="C238" s="87" t="s">
        <v>508</v>
      </c>
      <c r="D238" s="87" t="s">
        <v>508</v>
      </c>
      <c r="E238" s="87" t="s">
        <v>516</v>
      </c>
      <c r="F238" s="87"/>
      <c r="G238" s="88">
        <f>G239</f>
        <v>0</v>
      </c>
      <c r="H238" s="88">
        <f t="shared" si="23"/>
        <v>0</v>
      </c>
      <c r="I238" s="88">
        <f t="shared" si="23"/>
        <v>0</v>
      </c>
      <c r="J238" s="42"/>
      <c r="K238" s="35"/>
      <c r="L238" s="35"/>
      <c r="M238" s="36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</row>
    <row r="239" spans="1:29" s="50" customFormat="1" ht="18" customHeight="1" hidden="1">
      <c r="A239" s="131" t="s">
        <v>537</v>
      </c>
      <c r="B239" s="103">
        <v>803</v>
      </c>
      <c r="C239" s="87" t="s">
        <v>508</v>
      </c>
      <c r="D239" s="87" t="s">
        <v>508</v>
      </c>
      <c r="E239" s="87" t="s">
        <v>516</v>
      </c>
      <c r="F239" s="87" t="s">
        <v>536</v>
      </c>
      <c r="G239" s="88"/>
      <c r="H239" s="88"/>
      <c r="I239" s="88"/>
      <c r="J239" s="42"/>
      <c r="K239" s="35"/>
      <c r="L239" s="35"/>
      <c r="M239" s="36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</row>
    <row r="240" spans="1:29" s="49" customFormat="1" ht="18" customHeight="1">
      <c r="A240" s="131" t="s">
        <v>413</v>
      </c>
      <c r="B240" s="103">
        <v>803</v>
      </c>
      <c r="C240" s="87" t="s">
        <v>471</v>
      </c>
      <c r="D240" s="87"/>
      <c r="E240" s="87"/>
      <c r="F240" s="87"/>
      <c r="G240" s="88">
        <f>G241+G246</f>
        <v>507</v>
      </c>
      <c r="H240" s="88">
        <f>H241+H246</f>
        <v>166.5</v>
      </c>
      <c r="I240" s="88">
        <f>I241+I246</f>
        <v>618.2</v>
      </c>
      <c r="J240" s="42"/>
      <c r="K240" s="35"/>
      <c r="L240" s="35"/>
      <c r="M240" s="36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</row>
    <row r="241" spans="1:29" ht="18" customHeight="1">
      <c r="A241" s="131" t="s">
        <v>373</v>
      </c>
      <c r="B241" s="103">
        <v>803</v>
      </c>
      <c r="C241" s="87" t="s">
        <v>471</v>
      </c>
      <c r="D241" s="87" t="s">
        <v>792</v>
      </c>
      <c r="E241" s="87"/>
      <c r="F241" s="87"/>
      <c r="G241" s="88">
        <f>SUM(G242)</f>
        <v>62.2</v>
      </c>
      <c r="H241" s="88">
        <f aca="true" t="shared" si="24" ref="H241:I244">SUM(H242)</f>
        <v>65.3</v>
      </c>
      <c r="I241" s="88">
        <f t="shared" si="24"/>
        <v>68.2</v>
      </c>
      <c r="J241" s="42"/>
      <c r="K241" s="35"/>
      <c r="L241" s="35"/>
      <c r="M241" s="36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</row>
    <row r="242" spans="1:29" ht="21" customHeight="1">
      <c r="A242" s="132" t="s">
        <v>414</v>
      </c>
      <c r="B242" s="103">
        <v>803</v>
      </c>
      <c r="C242" s="87" t="s">
        <v>471</v>
      </c>
      <c r="D242" s="87" t="s">
        <v>792</v>
      </c>
      <c r="E242" s="87" t="s">
        <v>416</v>
      </c>
      <c r="F242" s="87"/>
      <c r="G242" s="88">
        <f>SUM(G243)</f>
        <v>62.2</v>
      </c>
      <c r="H242" s="88">
        <f t="shared" si="24"/>
        <v>65.3</v>
      </c>
      <c r="I242" s="88">
        <f t="shared" si="24"/>
        <v>68.2</v>
      </c>
      <c r="J242" s="42"/>
      <c r="K242" s="35"/>
      <c r="L242" s="35"/>
      <c r="M242" s="36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</row>
    <row r="243" spans="1:29" ht="21" customHeight="1">
      <c r="A243" s="140" t="s">
        <v>176</v>
      </c>
      <c r="B243" s="103">
        <v>803</v>
      </c>
      <c r="C243" s="87" t="s">
        <v>471</v>
      </c>
      <c r="D243" s="87" t="s">
        <v>792</v>
      </c>
      <c r="E243" s="87" t="s">
        <v>417</v>
      </c>
      <c r="F243" s="87"/>
      <c r="G243" s="88">
        <f>SUM(G244)</f>
        <v>62.2</v>
      </c>
      <c r="H243" s="88">
        <f t="shared" si="24"/>
        <v>65.3</v>
      </c>
      <c r="I243" s="88">
        <f t="shared" si="24"/>
        <v>68.2</v>
      </c>
      <c r="J243" s="42"/>
      <c r="K243" s="35"/>
      <c r="L243" s="35"/>
      <c r="M243" s="36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</row>
    <row r="244" spans="1:29" ht="18" customHeight="1">
      <c r="A244" s="125" t="s">
        <v>58</v>
      </c>
      <c r="B244" s="103">
        <v>803</v>
      </c>
      <c r="C244" s="87" t="s">
        <v>471</v>
      </c>
      <c r="D244" s="87" t="s">
        <v>792</v>
      </c>
      <c r="E244" s="87" t="s">
        <v>795</v>
      </c>
      <c r="F244" s="87"/>
      <c r="G244" s="88">
        <f>SUM(G245)</f>
        <v>62.2</v>
      </c>
      <c r="H244" s="88">
        <f t="shared" si="24"/>
        <v>65.3</v>
      </c>
      <c r="I244" s="88">
        <f t="shared" si="24"/>
        <v>68.2</v>
      </c>
      <c r="J244" s="42"/>
      <c r="K244" s="35"/>
      <c r="L244" s="35"/>
      <c r="M244" s="36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</row>
    <row r="245" spans="1:29" ht="18" customHeight="1">
      <c r="A245" s="132" t="s">
        <v>415</v>
      </c>
      <c r="B245" s="103">
        <v>803</v>
      </c>
      <c r="C245" s="87" t="s">
        <v>471</v>
      </c>
      <c r="D245" s="87" t="s">
        <v>792</v>
      </c>
      <c r="E245" s="87" t="s">
        <v>795</v>
      </c>
      <c r="F245" s="87" t="s">
        <v>39</v>
      </c>
      <c r="G245" s="88">
        <v>62.2</v>
      </c>
      <c r="H245" s="88">
        <v>65.3</v>
      </c>
      <c r="I245" s="88">
        <v>68.2</v>
      </c>
      <c r="J245" s="42"/>
      <c r="K245" s="35"/>
      <c r="L245" s="35"/>
      <c r="M245" s="36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</row>
    <row r="246" spans="1:29" ht="18" customHeight="1">
      <c r="A246" s="131" t="s">
        <v>472</v>
      </c>
      <c r="B246" s="103">
        <v>803</v>
      </c>
      <c r="C246" s="87" t="s">
        <v>471</v>
      </c>
      <c r="D246" s="87" t="s">
        <v>794</v>
      </c>
      <c r="E246" s="87"/>
      <c r="F246" s="87"/>
      <c r="G246" s="88">
        <f>G250+G247</f>
        <v>444.8</v>
      </c>
      <c r="H246" s="88">
        <f>H250+H247</f>
        <v>101.2</v>
      </c>
      <c r="I246" s="88">
        <f>I250+I247</f>
        <v>550</v>
      </c>
      <c r="J246" s="42"/>
      <c r="K246" s="35"/>
      <c r="L246" s="35"/>
      <c r="M246" s="36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</row>
    <row r="247" spans="1:29" ht="18" customHeight="1">
      <c r="A247" s="124" t="s">
        <v>380</v>
      </c>
      <c r="B247" s="103">
        <v>803</v>
      </c>
      <c r="C247" s="87" t="s">
        <v>471</v>
      </c>
      <c r="D247" s="87" t="s">
        <v>794</v>
      </c>
      <c r="E247" s="87" t="s">
        <v>381</v>
      </c>
      <c r="F247" s="87"/>
      <c r="G247" s="88">
        <f aca="true" t="shared" si="25" ref="G247:I248">G248</f>
        <v>200</v>
      </c>
      <c r="H247" s="88">
        <f t="shared" si="25"/>
        <v>0</v>
      </c>
      <c r="I247" s="88">
        <f t="shared" si="25"/>
        <v>550</v>
      </c>
      <c r="J247" s="42"/>
      <c r="K247" s="35"/>
      <c r="L247" s="35"/>
      <c r="M247" s="36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</row>
    <row r="248" spans="1:29" ht="36" customHeight="1">
      <c r="A248" s="124" t="s">
        <v>696</v>
      </c>
      <c r="B248" s="103">
        <v>803</v>
      </c>
      <c r="C248" s="87" t="s">
        <v>471</v>
      </c>
      <c r="D248" s="87" t="s">
        <v>794</v>
      </c>
      <c r="E248" s="87" t="s">
        <v>433</v>
      </c>
      <c r="F248" s="87"/>
      <c r="G248" s="88">
        <f t="shared" si="25"/>
        <v>200</v>
      </c>
      <c r="H248" s="88">
        <f t="shared" si="25"/>
        <v>0</v>
      </c>
      <c r="I248" s="88">
        <f t="shared" si="25"/>
        <v>550</v>
      </c>
      <c r="J248" s="42"/>
      <c r="K248" s="35"/>
      <c r="L248" s="35"/>
      <c r="M248" s="36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</row>
    <row r="249" spans="1:29" ht="18" customHeight="1">
      <c r="A249" s="124" t="s">
        <v>415</v>
      </c>
      <c r="B249" s="103">
        <v>803</v>
      </c>
      <c r="C249" s="87" t="s">
        <v>471</v>
      </c>
      <c r="D249" s="87" t="s">
        <v>794</v>
      </c>
      <c r="E249" s="87" t="s">
        <v>433</v>
      </c>
      <c r="F249" s="87" t="s">
        <v>39</v>
      </c>
      <c r="G249" s="88">
        <v>200</v>
      </c>
      <c r="H249" s="88"/>
      <c r="I249" s="88">
        <v>550</v>
      </c>
      <c r="J249" s="42"/>
      <c r="K249" s="35"/>
      <c r="L249" s="35"/>
      <c r="M249" s="36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</row>
    <row r="250" spans="1:29" ht="18" customHeight="1">
      <c r="A250" s="140" t="s">
        <v>349</v>
      </c>
      <c r="B250" s="103">
        <v>803</v>
      </c>
      <c r="C250" s="87" t="s">
        <v>471</v>
      </c>
      <c r="D250" s="87" t="s">
        <v>794</v>
      </c>
      <c r="E250" s="87" t="s">
        <v>343</v>
      </c>
      <c r="F250" s="87"/>
      <c r="G250" s="88">
        <f aca="true" t="shared" si="26" ref="G250:I252">G251</f>
        <v>244.8</v>
      </c>
      <c r="H250" s="88">
        <f t="shared" si="26"/>
        <v>101.2</v>
      </c>
      <c r="I250" s="88">
        <f t="shared" si="26"/>
        <v>0</v>
      </c>
      <c r="J250" s="42"/>
      <c r="K250" s="35"/>
      <c r="L250" s="35"/>
      <c r="M250" s="36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</row>
    <row r="251" spans="1:29" ht="18" customHeight="1">
      <c r="A251" s="140" t="s">
        <v>380</v>
      </c>
      <c r="B251" s="103">
        <v>803</v>
      </c>
      <c r="C251" s="87" t="s">
        <v>471</v>
      </c>
      <c r="D251" s="87" t="s">
        <v>794</v>
      </c>
      <c r="E251" s="87" t="s">
        <v>344</v>
      </c>
      <c r="F251" s="87"/>
      <c r="G251" s="88">
        <f t="shared" si="26"/>
        <v>244.8</v>
      </c>
      <c r="H251" s="88">
        <f t="shared" si="26"/>
        <v>101.2</v>
      </c>
      <c r="I251" s="88">
        <f t="shared" si="26"/>
        <v>0</v>
      </c>
      <c r="J251" s="42"/>
      <c r="K251" s="35"/>
      <c r="L251" s="35"/>
      <c r="M251" s="36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</row>
    <row r="252" spans="1:29" ht="18" customHeight="1">
      <c r="A252" s="124" t="s">
        <v>729</v>
      </c>
      <c r="B252" s="103">
        <v>803</v>
      </c>
      <c r="C252" s="87" t="s">
        <v>471</v>
      </c>
      <c r="D252" s="87" t="s">
        <v>794</v>
      </c>
      <c r="E252" s="87" t="s">
        <v>353</v>
      </c>
      <c r="F252" s="87"/>
      <c r="G252" s="88">
        <f t="shared" si="26"/>
        <v>244.8</v>
      </c>
      <c r="H252" s="88">
        <f t="shared" si="26"/>
        <v>101.2</v>
      </c>
      <c r="I252" s="88">
        <f t="shared" si="26"/>
        <v>0</v>
      </c>
      <c r="J252" s="42"/>
      <c r="K252" s="35"/>
      <c r="L252" s="35"/>
      <c r="M252" s="36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</row>
    <row r="253" spans="1:29" ht="18" customHeight="1">
      <c r="A253" s="124" t="s">
        <v>503</v>
      </c>
      <c r="B253" s="103">
        <v>803</v>
      </c>
      <c r="C253" s="87" t="s">
        <v>471</v>
      </c>
      <c r="D253" s="87" t="s">
        <v>794</v>
      </c>
      <c r="E253" s="87" t="s">
        <v>353</v>
      </c>
      <c r="F253" s="87" t="s">
        <v>39</v>
      </c>
      <c r="G253" s="88">
        <v>244.8</v>
      </c>
      <c r="H253" s="88">
        <v>101.2</v>
      </c>
      <c r="I253" s="88"/>
      <c r="J253" s="42"/>
      <c r="K253" s="35"/>
      <c r="L253" s="35"/>
      <c r="M253" s="36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</row>
    <row r="254" spans="1:29" ht="34.5" customHeight="1">
      <c r="A254" s="133" t="s">
        <v>85</v>
      </c>
      <c r="B254" s="103">
        <v>804</v>
      </c>
      <c r="C254" s="87"/>
      <c r="D254" s="87"/>
      <c r="E254" s="87"/>
      <c r="F254" s="87"/>
      <c r="G254" s="88">
        <f>G255+G267</f>
        <v>33447.8</v>
      </c>
      <c r="H254" s="88">
        <f>H255+H267</f>
        <v>33419.2</v>
      </c>
      <c r="I254" s="88">
        <f>I255+I267</f>
        <v>33423.3</v>
      </c>
      <c r="J254" s="42"/>
      <c r="K254" s="35"/>
      <c r="L254" s="35"/>
      <c r="M254" s="36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</row>
    <row r="255" spans="1:29" ht="20.25" customHeight="1">
      <c r="A255" s="133" t="s">
        <v>418</v>
      </c>
      <c r="B255" s="103">
        <v>804</v>
      </c>
      <c r="C255" s="87" t="s">
        <v>793</v>
      </c>
      <c r="D255" s="87"/>
      <c r="E255" s="87"/>
      <c r="F255" s="87"/>
      <c r="G255" s="88">
        <f>SUM(G260,G256)</f>
        <v>33447.8</v>
      </c>
      <c r="H255" s="88">
        <f>SUM(H260,H256)</f>
        <v>33419.2</v>
      </c>
      <c r="I255" s="88">
        <f>SUM(I260,I256)</f>
        <v>33423.3</v>
      </c>
      <c r="J255" s="42"/>
      <c r="K255" s="35"/>
      <c r="L255" s="35"/>
      <c r="M255" s="36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</row>
    <row r="256" spans="1:29" ht="20.25" customHeight="1" hidden="1">
      <c r="A256" s="124" t="s">
        <v>756</v>
      </c>
      <c r="B256" s="103">
        <v>804</v>
      </c>
      <c r="C256" s="87" t="s">
        <v>793</v>
      </c>
      <c r="D256" s="87" t="s">
        <v>790</v>
      </c>
      <c r="E256" s="87"/>
      <c r="F256" s="87"/>
      <c r="G256" s="88">
        <f>G257</f>
        <v>0</v>
      </c>
      <c r="H256" s="88">
        <f aca="true" t="shared" si="27" ref="H256:I258">H257</f>
        <v>0</v>
      </c>
      <c r="I256" s="88">
        <f t="shared" si="27"/>
        <v>0</v>
      </c>
      <c r="J256" s="42"/>
      <c r="K256" s="35"/>
      <c r="L256" s="35"/>
      <c r="M256" s="36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</row>
    <row r="257" spans="1:29" ht="20.25" customHeight="1" hidden="1">
      <c r="A257" s="124" t="s">
        <v>758</v>
      </c>
      <c r="B257" s="103">
        <v>804</v>
      </c>
      <c r="C257" s="87" t="s">
        <v>793</v>
      </c>
      <c r="D257" s="87" t="s">
        <v>790</v>
      </c>
      <c r="E257" s="87" t="s">
        <v>757</v>
      </c>
      <c r="F257" s="87"/>
      <c r="G257" s="88">
        <f>G258</f>
        <v>0</v>
      </c>
      <c r="H257" s="88">
        <f t="shared" si="27"/>
        <v>0</v>
      </c>
      <c r="I257" s="88">
        <f t="shared" si="27"/>
        <v>0</v>
      </c>
      <c r="J257" s="42"/>
      <c r="K257" s="35"/>
      <c r="L257" s="35"/>
      <c r="M257" s="36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</row>
    <row r="258" spans="1:29" ht="20.25" customHeight="1" hidden="1">
      <c r="A258" s="124" t="s">
        <v>760</v>
      </c>
      <c r="B258" s="103">
        <v>804</v>
      </c>
      <c r="C258" s="87" t="s">
        <v>793</v>
      </c>
      <c r="D258" s="87" t="s">
        <v>790</v>
      </c>
      <c r="E258" s="87" t="s">
        <v>759</v>
      </c>
      <c r="F258" s="87"/>
      <c r="G258" s="88">
        <f>G259</f>
        <v>0</v>
      </c>
      <c r="H258" s="88">
        <f t="shared" si="27"/>
        <v>0</v>
      </c>
      <c r="I258" s="88">
        <f t="shared" si="27"/>
        <v>0</v>
      </c>
      <c r="J258" s="42"/>
      <c r="K258" s="35"/>
      <c r="L258" s="35"/>
      <c r="M258" s="36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</row>
    <row r="259" spans="1:29" ht="20.25" customHeight="1" hidden="1">
      <c r="A259" s="125" t="s">
        <v>836</v>
      </c>
      <c r="B259" s="103">
        <v>804</v>
      </c>
      <c r="C259" s="87" t="s">
        <v>793</v>
      </c>
      <c r="D259" s="87" t="s">
        <v>790</v>
      </c>
      <c r="E259" s="87" t="s">
        <v>759</v>
      </c>
      <c r="F259" s="87" t="s">
        <v>545</v>
      </c>
      <c r="G259" s="88"/>
      <c r="H259" s="88"/>
      <c r="I259" s="88"/>
      <c r="J259" s="42"/>
      <c r="K259" s="35"/>
      <c r="L259" s="35"/>
      <c r="M259" s="36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</row>
    <row r="260" spans="1:29" ht="20.25" customHeight="1">
      <c r="A260" s="131" t="s">
        <v>419</v>
      </c>
      <c r="B260" s="103">
        <v>804</v>
      </c>
      <c r="C260" s="87" t="s">
        <v>793</v>
      </c>
      <c r="D260" s="87" t="s">
        <v>509</v>
      </c>
      <c r="E260" s="87"/>
      <c r="F260" s="87"/>
      <c r="G260" s="88">
        <f>SUM(G261,G264)</f>
        <v>33447.8</v>
      </c>
      <c r="H260" s="88">
        <f>SUM(H261,H264)</f>
        <v>33419.2</v>
      </c>
      <c r="I260" s="88">
        <f>SUM(I261,I264)</f>
        <v>33423.3</v>
      </c>
      <c r="J260" s="42"/>
      <c r="K260" s="35"/>
      <c r="L260" s="35"/>
      <c r="M260" s="36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</row>
    <row r="261" spans="1:29" ht="51" customHeight="1">
      <c r="A261" s="125" t="s">
        <v>26</v>
      </c>
      <c r="B261" s="103">
        <v>804</v>
      </c>
      <c r="C261" s="87" t="s">
        <v>793</v>
      </c>
      <c r="D261" s="87" t="s">
        <v>509</v>
      </c>
      <c r="E261" s="87" t="s">
        <v>27</v>
      </c>
      <c r="F261" s="87"/>
      <c r="G261" s="88">
        <f aca="true" t="shared" si="28" ref="G261:I262">SUM(G262)</f>
        <v>23447.800000000003</v>
      </c>
      <c r="H261" s="88">
        <f t="shared" si="28"/>
        <v>23419.2</v>
      </c>
      <c r="I261" s="88">
        <f t="shared" si="28"/>
        <v>23423.300000000003</v>
      </c>
      <c r="J261" s="42"/>
      <c r="K261" s="35"/>
      <c r="L261" s="35"/>
      <c r="M261" s="36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</row>
    <row r="262" spans="1:29" ht="20.25" customHeight="1">
      <c r="A262" s="125" t="s">
        <v>31</v>
      </c>
      <c r="B262" s="103">
        <v>804</v>
      </c>
      <c r="C262" s="87" t="s">
        <v>793</v>
      </c>
      <c r="D262" s="87" t="s">
        <v>509</v>
      </c>
      <c r="E262" s="87" t="s">
        <v>29</v>
      </c>
      <c r="F262" s="87"/>
      <c r="G262" s="88">
        <f t="shared" si="28"/>
        <v>23447.800000000003</v>
      </c>
      <c r="H262" s="88">
        <f t="shared" si="28"/>
        <v>23419.2</v>
      </c>
      <c r="I262" s="88">
        <f t="shared" si="28"/>
        <v>23423.300000000003</v>
      </c>
      <c r="J262" s="42"/>
      <c r="K262" s="35"/>
      <c r="L262" s="35"/>
      <c r="M262" s="36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</row>
    <row r="263" spans="1:29" ht="18" customHeight="1">
      <c r="A263" s="124" t="s">
        <v>690</v>
      </c>
      <c r="B263" s="103">
        <v>804</v>
      </c>
      <c r="C263" s="87" t="s">
        <v>793</v>
      </c>
      <c r="D263" s="87" t="s">
        <v>509</v>
      </c>
      <c r="E263" s="87" t="s">
        <v>29</v>
      </c>
      <c r="F263" s="87" t="s">
        <v>197</v>
      </c>
      <c r="G263" s="88">
        <f>21314.9+2132.9</f>
        <v>23447.800000000003</v>
      </c>
      <c r="H263" s="88">
        <f>21286.3+2132.9</f>
        <v>23419.2</v>
      </c>
      <c r="I263" s="88">
        <f>21290.4+2132.9</f>
        <v>23423.300000000003</v>
      </c>
      <c r="J263" s="42"/>
      <c r="K263" s="35"/>
      <c r="L263" s="35"/>
      <c r="M263" s="36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</row>
    <row r="264" spans="1:29" ht="18.75" customHeight="1">
      <c r="A264" s="125" t="s">
        <v>697</v>
      </c>
      <c r="B264" s="103">
        <v>804</v>
      </c>
      <c r="C264" s="87" t="s">
        <v>793</v>
      </c>
      <c r="D264" s="87" t="s">
        <v>509</v>
      </c>
      <c r="E264" s="87" t="s">
        <v>420</v>
      </c>
      <c r="F264" s="87"/>
      <c r="G264" s="88">
        <f aca="true" t="shared" si="29" ref="G264:I265">SUM(G265)</f>
        <v>10000</v>
      </c>
      <c r="H264" s="88">
        <f t="shared" si="29"/>
        <v>10000</v>
      </c>
      <c r="I264" s="88">
        <f t="shared" si="29"/>
        <v>10000</v>
      </c>
      <c r="J264" s="42"/>
      <c r="K264" s="35"/>
      <c r="L264" s="35"/>
      <c r="M264" s="36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</row>
    <row r="265" spans="1:29" ht="20.25" customHeight="1">
      <c r="A265" s="144" t="s">
        <v>434</v>
      </c>
      <c r="B265" s="103">
        <v>804</v>
      </c>
      <c r="C265" s="87" t="s">
        <v>793</v>
      </c>
      <c r="D265" s="87" t="s">
        <v>509</v>
      </c>
      <c r="E265" s="87" t="s">
        <v>435</v>
      </c>
      <c r="F265" s="87"/>
      <c r="G265" s="88">
        <f t="shared" si="29"/>
        <v>10000</v>
      </c>
      <c r="H265" s="88">
        <f t="shared" si="29"/>
        <v>10000</v>
      </c>
      <c r="I265" s="88">
        <f t="shared" si="29"/>
        <v>10000</v>
      </c>
      <c r="J265" s="42"/>
      <c r="K265" s="35"/>
      <c r="L265" s="35"/>
      <c r="M265" s="36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</row>
    <row r="266" spans="1:29" ht="18.75" customHeight="1">
      <c r="A266" s="124" t="s">
        <v>690</v>
      </c>
      <c r="B266" s="103">
        <v>804</v>
      </c>
      <c r="C266" s="87" t="s">
        <v>793</v>
      </c>
      <c r="D266" s="87" t="s">
        <v>509</v>
      </c>
      <c r="E266" s="87" t="s">
        <v>435</v>
      </c>
      <c r="F266" s="87" t="s">
        <v>197</v>
      </c>
      <c r="G266" s="88">
        <v>10000</v>
      </c>
      <c r="H266" s="88">
        <v>10000</v>
      </c>
      <c r="I266" s="88">
        <v>10000</v>
      </c>
      <c r="J266" s="42"/>
      <c r="K266" s="35"/>
      <c r="L266" s="35"/>
      <c r="M266" s="36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</row>
    <row r="267" spans="1:29" ht="18.75" customHeight="1" hidden="1">
      <c r="A267" s="131" t="s">
        <v>364</v>
      </c>
      <c r="B267" s="103">
        <v>804</v>
      </c>
      <c r="C267" s="87" t="s">
        <v>508</v>
      </c>
      <c r="D267" s="87"/>
      <c r="E267" s="87"/>
      <c r="F267" s="87"/>
      <c r="G267" s="88">
        <f>G268</f>
        <v>0</v>
      </c>
      <c r="H267" s="88">
        <f aca="true" t="shared" si="30" ref="H267:I270">H268</f>
        <v>0</v>
      </c>
      <c r="I267" s="88">
        <f t="shared" si="30"/>
        <v>0</v>
      </c>
      <c r="J267" s="42"/>
      <c r="K267" s="35"/>
      <c r="L267" s="35"/>
      <c r="M267" s="36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</row>
    <row r="268" spans="1:29" ht="18.75" customHeight="1" hidden="1">
      <c r="A268" s="131" t="s">
        <v>231</v>
      </c>
      <c r="B268" s="103">
        <v>804</v>
      </c>
      <c r="C268" s="87" t="s">
        <v>508</v>
      </c>
      <c r="D268" s="87" t="s">
        <v>508</v>
      </c>
      <c r="E268" s="87"/>
      <c r="F268" s="87"/>
      <c r="G268" s="88">
        <f>G269</f>
        <v>0</v>
      </c>
      <c r="H268" s="88">
        <f t="shared" si="30"/>
        <v>0</v>
      </c>
      <c r="I268" s="88">
        <f t="shared" si="30"/>
        <v>0</v>
      </c>
      <c r="J268" s="42"/>
      <c r="K268" s="35"/>
      <c r="L268" s="35"/>
      <c r="M268" s="36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</row>
    <row r="269" spans="1:29" ht="18.75" customHeight="1" hidden="1">
      <c r="A269" s="125" t="s">
        <v>209</v>
      </c>
      <c r="B269" s="103">
        <v>804</v>
      </c>
      <c r="C269" s="87" t="s">
        <v>508</v>
      </c>
      <c r="D269" s="87" t="s">
        <v>508</v>
      </c>
      <c r="E269" s="87" t="s">
        <v>473</v>
      </c>
      <c r="F269" s="87"/>
      <c r="G269" s="88">
        <f>G270</f>
        <v>0</v>
      </c>
      <c r="H269" s="88">
        <f t="shared" si="30"/>
        <v>0</v>
      </c>
      <c r="I269" s="88">
        <f t="shared" si="30"/>
        <v>0</v>
      </c>
      <c r="J269" s="42"/>
      <c r="K269" s="35"/>
      <c r="L269" s="35"/>
      <c r="M269" s="36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</row>
    <row r="270" spans="1:29" ht="18.75" customHeight="1" hidden="1">
      <c r="A270" s="140" t="s">
        <v>301</v>
      </c>
      <c r="B270" s="103">
        <v>804</v>
      </c>
      <c r="C270" s="87" t="s">
        <v>508</v>
      </c>
      <c r="D270" s="87" t="s">
        <v>508</v>
      </c>
      <c r="E270" s="87" t="s">
        <v>516</v>
      </c>
      <c r="F270" s="87"/>
      <c r="G270" s="88">
        <f>G271</f>
        <v>0</v>
      </c>
      <c r="H270" s="88">
        <f t="shared" si="30"/>
        <v>0</v>
      </c>
      <c r="I270" s="88">
        <f t="shared" si="30"/>
        <v>0</v>
      </c>
      <c r="J270" s="42"/>
      <c r="K270" s="35"/>
      <c r="L270" s="35"/>
      <c r="M270" s="36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</row>
    <row r="271" spans="1:29" ht="18.75" customHeight="1" hidden="1">
      <c r="A271" s="131" t="s">
        <v>537</v>
      </c>
      <c r="B271" s="103">
        <v>804</v>
      </c>
      <c r="C271" s="87" t="s">
        <v>508</v>
      </c>
      <c r="D271" s="87" t="s">
        <v>508</v>
      </c>
      <c r="E271" s="87" t="s">
        <v>516</v>
      </c>
      <c r="F271" s="87" t="s">
        <v>536</v>
      </c>
      <c r="G271" s="88"/>
      <c r="H271" s="88"/>
      <c r="I271" s="88"/>
      <c r="J271" s="42"/>
      <c r="K271" s="35"/>
      <c r="L271" s="35"/>
      <c r="M271" s="36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</row>
    <row r="272" spans="1:29" ht="19.5" customHeight="1">
      <c r="A272" s="133" t="s">
        <v>86</v>
      </c>
      <c r="B272" s="103">
        <v>805</v>
      </c>
      <c r="C272" s="87"/>
      <c r="D272" s="87"/>
      <c r="E272" s="87"/>
      <c r="F272" s="87"/>
      <c r="G272" s="88">
        <f>SUM(G283,G387,G382,G273,)</f>
        <v>2023508.3000000003</v>
      </c>
      <c r="H272" s="88">
        <f>SUM(H283,H387,H382,H273,)</f>
        <v>1981621.6</v>
      </c>
      <c r="I272" s="88">
        <f>SUM(I283,I387,I382,I273,)</f>
        <v>2016082.1</v>
      </c>
      <c r="J272" s="51"/>
      <c r="K272" s="52"/>
      <c r="L272" s="36"/>
      <c r="M272" s="36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</row>
    <row r="273" spans="1:29" ht="19.5" customHeight="1" hidden="1">
      <c r="A273" s="133" t="s">
        <v>418</v>
      </c>
      <c r="B273" s="103">
        <v>805</v>
      </c>
      <c r="C273" s="87" t="s">
        <v>793</v>
      </c>
      <c r="D273" s="87"/>
      <c r="E273" s="87"/>
      <c r="F273" s="87"/>
      <c r="G273" s="88">
        <f>G274</f>
        <v>0</v>
      </c>
      <c r="H273" s="88">
        <f>H274</f>
        <v>0</v>
      </c>
      <c r="I273" s="88">
        <f>I274</f>
        <v>0</v>
      </c>
      <c r="J273" s="51"/>
      <c r="K273" s="52"/>
      <c r="L273" s="36"/>
      <c r="M273" s="36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</row>
    <row r="274" spans="1:29" ht="19.5" customHeight="1" hidden="1">
      <c r="A274" s="124" t="s">
        <v>756</v>
      </c>
      <c r="B274" s="103">
        <v>805</v>
      </c>
      <c r="C274" s="87" t="s">
        <v>793</v>
      </c>
      <c r="D274" s="87" t="s">
        <v>790</v>
      </c>
      <c r="E274" s="87"/>
      <c r="F274" s="87"/>
      <c r="G274" s="88">
        <f>G275+G280</f>
        <v>0</v>
      </c>
      <c r="H274" s="88">
        <f>H275+H280</f>
        <v>0</v>
      </c>
      <c r="I274" s="88">
        <f>I275+I280</f>
        <v>0</v>
      </c>
      <c r="J274" s="51"/>
      <c r="K274" s="52"/>
      <c r="L274" s="36"/>
      <c r="M274" s="36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</row>
    <row r="275" spans="1:29" ht="19.5" customHeight="1" hidden="1">
      <c r="A275" s="124" t="s">
        <v>758</v>
      </c>
      <c r="B275" s="103">
        <v>805</v>
      </c>
      <c r="C275" s="87" t="s">
        <v>793</v>
      </c>
      <c r="D275" s="87" t="s">
        <v>790</v>
      </c>
      <c r="E275" s="87" t="s">
        <v>757</v>
      </c>
      <c r="F275" s="87"/>
      <c r="G275" s="88">
        <f>G276+G278</f>
        <v>0</v>
      </c>
      <c r="H275" s="88">
        <f>H276+H278</f>
        <v>0</v>
      </c>
      <c r="I275" s="88">
        <f>I276+I278</f>
        <v>0</v>
      </c>
      <c r="J275" s="51"/>
      <c r="K275" s="52"/>
      <c r="L275" s="36"/>
      <c r="M275" s="36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</row>
    <row r="276" spans="1:29" ht="19.5" customHeight="1" hidden="1">
      <c r="A276" s="124" t="s">
        <v>760</v>
      </c>
      <c r="B276" s="103">
        <v>805</v>
      </c>
      <c r="C276" s="87" t="s">
        <v>793</v>
      </c>
      <c r="D276" s="87" t="s">
        <v>790</v>
      </c>
      <c r="E276" s="87" t="s">
        <v>759</v>
      </c>
      <c r="F276" s="87"/>
      <c r="G276" s="88">
        <f>G277</f>
        <v>0</v>
      </c>
      <c r="H276" s="88">
        <f>H277</f>
        <v>0</v>
      </c>
      <c r="I276" s="88">
        <f>I277</f>
        <v>0</v>
      </c>
      <c r="J276" s="51"/>
      <c r="K276" s="52"/>
      <c r="L276" s="36"/>
      <c r="M276" s="36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</row>
    <row r="277" spans="1:29" ht="19.5" customHeight="1" hidden="1">
      <c r="A277" s="125" t="s">
        <v>836</v>
      </c>
      <c r="B277" s="103">
        <v>805</v>
      </c>
      <c r="C277" s="87" t="s">
        <v>793</v>
      </c>
      <c r="D277" s="87" t="s">
        <v>790</v>
      </c>
      <c r="E277" s="87" t="s">
        <v>759</v>
      </c>
      <c r="F277" s="87" t="s">
        <v>545</v>
      </c>
      <c r="G277" s="88"/>
      <c r="H277" s="88"/>
      <c r="I277" s="88"/>
      <c r="J277" s="51"/>
      <c r="K277" s="52"/>
      <c r="L277" s="36"/>
      <c r="M277" s="36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</row>
    <row r="278" spans="1:29" ht="40.5" customHeight="1" hidden="1">
      <c r="A278" s="125" t="s">
        <v>571</v>
      </c>
      <c r="B278" s="103">
        <v>805</v>
      </c>
      <c r="C278" s="87" t="s">
        <v>793</v>
      </c>
      <c r="D278" s="87" t="s">
        <v>790</v>
      </c>
      <c r="E278" s="87" t="s">
        <v>567</v>
      </c>
      <c r="F278" s="87"/>
      <c r="G278" s="88">
        <f>G279</f>
        <v>0</v>
      </c>
      <c r="H278" s="88">
        <f>H279</f>
        <v>0</v>
      </c>
      <c r="I278" s="88">
        <f>I279</f>
        <v>0</v>
      </c>
      <c r="J278" s="51"/>
      <c r="K278" s="52"/>
      <c r="L278" s="36"/>
      <c r="M278" s="36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</row>
    <row r="279" spans="1:29" ht="19.5" customHeight="1" hidden="1">
      <c r="A279" s="125" t="s">
        <v>836</v>
      </c>
      <c r="B279" s="103">
        <v>805</v>
      </c>
      <c r="C279" s="87" t="s">
        <v>793</v>
      </c>
      <c r="D279" s="87" t="s">
        <v>790</v>
      </c>
      <c r="E279" s="87" t="s">
        <v>567</v>
      </c>
      <c r="F279" s="87" t="s">
        <v>545</v>
      </c>
      <c r="G279" s="88"/>
      <c r="H279" s="88"/>
      <c r="I279" s="88"/>
      <c r="J279" s="51"/>
      <c r="K279" s="52"/>
      <c r="L279" s="36"/>
      <c r="M279" s="36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</row>
    <row r="280" spans="1:29" ht="19.5" customHeight="1" hidden="1">
      <c r="A280" s="125" t="s">
        <v>277</v>
      </c>
      <c r="B280" s="103">
        <v>805</v>
      </c>
      <c r="C280" s="87" t="s">
        <v>793</v>
      </c>
      <c r="D280" s="87" t="s">
        <v>790</v>
      </c>
      <c r="E280" s="87" t="s">
        <v>381</v>
      </c>
      <c r="F280" s="87"/>
      <c r="G280" s="88">
        <f aca="true" t="shared" si="31" ref="G280:I281">G281</f>
        <v>0</v>
      </c>
      <c r="H280" s="88">
        <f t="shared" si="31"/>
        <v>0</v>
      </c>
      <c r="I280" s="88">
        <f t="shared" si="31"/>
        <v>0</v>
      </c>
      <c r="J280" s="51"/>
      <c r="K280" s="52"/>
      <c r="L280" s="36"/>
      <c r="M280" s="36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</row>
    <row r="281" spans="1:29" ht="33" customHeight="1" hidden="1">
      <c r="A281" s="125" t="s">
        <v>569</v>
      </c>
      <c r="B281" s="103">
        <v>805</v>
      </c>
      <c r="C281" s="87" t="s">
        <v>793</v>
      </c>
      <c r="D281" s="87" t="s">
        <v>790</v>
      </c>
      <c r="E281" s="87" t="s">
        <v>572</v>
      </c>
      <c r="F281" s="87"/>
      <c r="G281" s="88">
        <f t="shared" si="31"/>
        <v>0</v>
      </c>
      <c r="H281" s="88">
        <f t="shared" si="31"/>
        <v>0</v>
      </c>
      <c r="I281" s="88">
        <f t="shared" si="31"/>
        <v>0</v>
      </c>
      <c r="J281" s="51"/>
      <c r="K281" s="52"/>
      <c r="L281" s="36"/>
      <c r="M281" s="36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</row>
    <row r="282" spans="1:29" ht="19.5" customHeight="1" hidden="1">
      <c r="A282" s="125" t="s">
        <v>836</v>
      </c>
      <c r="B282" s="103">
        <v>805</v>
      </c>
      <c r="C282" s="87" t="s">
        <v>793</v>
      </c>
      <c r="D282" s="87" t="s">
        <v>790</v>
      </c>
      <c r="E282" s="87" t="s">
        <v>572</v>
      </c>
      <c r="F282" s="87" t="s">
        <v>545</v>
      </c>
      <c r="G282" s="88"/>
      <c r="H282" s="88"/>
      <c r="I282" s="88"/>
      <c r="J282" s="51"/>
      <c r="K282" s="52"/>
      <c r="L282" s="36"/>
      <c r="M282" s="36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</row>
    <row r="283" spans="1:29" ht="19.5" customHeight="1">
      <c r="A283" s="131" t="s">
        <v>412</v>
      </c>
      <c r="B283" s="103">
        <v>805</v>
      </c>
      <c r="C283" s="87" t="s">
        <v>508</v>
      </c>
      <c r="D283" s="87"/>
      <c r="E283" s="87"/>
      <c r="F283" s="87"/>
      <c r="G283" s="88">
        <f>SUM(G284,G294,G332,G345,G328,G338)</f>
        <v>1938389.5000000002</v>
      </c>
      <c r="H283" s="88">
        <f>SUM(H284,H294,H332,H345,H328,H338)</f>
        <v>1900929.8</v>
      </c>
      <c r="I283" s="88">
        <f>SUM(I284,I294,I332,I345,I328,I338)</f>
        <v>1935390.3</v>
      </c>
      <c r="J283" s="51"/>
      <c r="K283" s="52"/>
      <c r="L283" s="36"/>
      <c r="M283" s="36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</row>
    <row r="284" spans="1:29" ht="16.5">
      <c r="A284" s="131" t="s">
        <v>699</v>
      </c>
      <c r="B284" s="103">
        <v>805</v>
      </c>
      <c r="C284" s="87" t="s">
        <v>508</v>
      </c>
      <c r="D284" s="87" t="s">
        <v>790</v>
      </c>
      <c r="E284" s="87"/>
      <c r="F284" s="87"/>
      <c r="G284" s="88">
        <f>SUM(G285,G290)</f>
        <v>859248.9</v>
      </c>
      <c r="H284" s="88">
        <f>SUM(H285,H290)</f>
        <v>866592.7000000001</v>
      </c>
      <c r="I284" s="88">
        <f>SUM(I285,I290)</f>
        <v>883803.5</v>
      </c>
      <c r="J284" s="51"/>
      <c r="K284" s="52"/>
      <c r="L284" s="36"/>
      <c r="M284" s="36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</row>
    <row r="285" spans="1:29" ht="17.25" customHeight="1">
      <c r="A285" s="131" t="s">
        <v>700</v>
      </c>
      <c r="B285" s="103">
        <v>805</v>
      </c>
      <c r="C285" s="87" t="s">
        <v>508</v>
      </c>
      <c r="D285" s="87" t="s">
        <v>790</v>
      </c>
      <c r="E285" s="87" t="s">
        <v>437</v>
      </c>
      <c r="F285" s="87"/>
      <c r="G285" s="88">
        <f>SUM(G286,G288)</f>
        <v>856504.3</v>
      </c>
      <c r="H285" s="88">
        <f>SUM(H286,H288)</f>
        <v>863985.3</v>
      </c>
      <c r="I285" s="88">
        <f>SUM(I286,I288)</f>
        <v>881196.1</v>
      </c>
      <c r="J285" s="51"/>
      <c r="K285" s="52"/>
      <c r="L285" s="36"/>
      <c r="M285" s="36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</row>
    <row r="286" spans="1:29" ht="18" customHeight="1">
      <c r="A286" s="131" t="s">
        <v>475</v>
      </c>
      <c r="B286" s="103">
        <v>805</v>
      </c>
      <c r="C286" s="87" t="s">
        <v>508</v>
      </c>
      <c r="D286" s="87" t="s">
        <v>790</v>
      </c>
      <c r="E286" s="87" t="s">
        <v>476</v>
      </c>
      <c r="F286" s="87"/>
      <c r="G286" s="88">
        <f>SUM(G287)</f>
        <v>28132</v>
      </c>
      <c r="H286" s="88">
        <f>SUM(H287)</f>
        <v>28394.5</v>
      </c>
      <c r="I286" s="88">
        <f>SUM(I287)</f>
        <v>28394.5</v>
      </c>
      <c r="J286" s="51"/>
      <c r="K286" s="52"/>
      <c r="L286" s="36"/>
      <c r="M286" s="36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</row>
    <row r="287" spans="1:29" ht="16.5">
      <c r="A287" s="125" t="s">
        <v>698</v>
      </c>
      <c r="B287" s="103">
        <v>805</v>
      </c>
      <c r="C287" s="87" t="s">
        <v>508</v>
      </c>
      <c r="D287" s="87" t="s">
        <v>790</v>
      </c>
      <c r="E287" s="87" t="s">
        <v>476</v>
      </c>
      <c r="F287" s="87" t="s">
        <v>545</v>
      </c>
      <c r="G287" s="88">
        <v>28132</v>
      </c>
      <c r="H287" s="88">
        <v>28394.5</v>
      </c>
      <c r="I287" s="88">
        <v>28394.5</v>
      </c>
      <c r="J287" s="51"/>
      <c r="K287" s="52"/>
      <c r="L287" s="36"/>
      <c r="M287" s="36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</row>
    <row r="288" spans="1:29" ht="18" customHeight="1">
      <c r="A288" s="131" t="s">
        <v>389</v>
      </c>
      <c r="B288" s="103">
        <v>805</v>
      </c>
      <c r="C288" s="87" t="s">
        <v>508</v>
      </c>
      <c r="D288" s="87" t="s">
        <v>790</v>
      </c>
      <c r="E288" s="87" t="s">
        <v>438</v>
      </c>
      <c r="F288" s="87"/>
      <c r="G288" s="88">
        <f>SUM(G289)</f>
        <v>828372.3</v>
      </c>
      <c r="H288" s="88">
        <f>SUM(H289)</f>
        <v>835590.8</v>
      </c>
      <c r="I288" s="88">
        <f>SUM(I289)</f>
        <v>852801.6</v>
      </c>
      <c r="J288" s="51"/>
      <c r="K288" s="52"/>
      <c r="L288" s="36"/>
      <c r="M288" s="36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</row>
    <row r="289" spans="1:29" ht="19.5" customHeight="1">
      <c r="A289" s="125" t="s">
        <v>698</v>
      </c>
      <c r="B289" s="103">
        <v>805</v>
      </c>
      <c r="C289" s="87" t="s">
        <v>508</v>
      </c>
      <c r="D289" s="87" t="s">
        <v>790</v>
      </c>
      <c r="E289" s="87" t="s">
        <v>438</v>
      </c>
      <c r="F289" s="87" t="s">
        <v>545</v>
      </c>
      <c r="G289" s="88">
        <v>828372.3</v>
      </c>
      <c r="H289" s="88">
        <v>835590.8</v>
      </c>
      <c r="I289" s="88">
        <v>852801.6</v>
      </c>
      <c r="J289" s="42"/>
      <c r="K289" s="35"/>
      <c r="L289" s="35"/>
      <c r="M289" s="36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</row>
    <row r="290" spans="1:13" s="35" customFormat="1" ht="18" customHeight="1">
      <c r="A290" s="143" t="s">
        <v>703</v>
      </c>
      <c r="B290" s="103">
        <v>805</v>
      </c>
      <c r="C290" s="87" t="s">
        <v>508</v>
      </c>
      <c r="D290" s="87" t="s">
        <v>790</v>
      </c>
      <c r="E290" s="87" t="s">
        <v>15</v>
      </c>
      <c r="F290" s="87"/>
      <c r="G290" s="88">
        <f>G292</f>
        <v>2744.6</v>
      </c>
      <c r="H290" s="88">
        <f>H292</f>
        <v>2607.4</v>
      </c>
      <c r="I290" s="88">
        <f>I292</f>
        <v>2607.4</v>
      </c>
      <c r="J290" s="42"/>
      <c r="M290" s="36"/>
    </row>
    <row r="291" spans="1:13" s="35" customFormat="1" ht="36" customHeight="1">
      <c r="A291" s="125" t="s">
        <v>704</v>
      </c>
      <c r="B291" s="103">
        <v>805</v>
      </c>
      <c r="C291" s="87" t="s">
        <v>508</v>
      </c>
      <c r="D291" s="87" t="s">
        <v>790</v>
      </c>
      <c r="E291" s="87" t="s">
        <v>18</v>
      </c>
      <c r="F291" s="87"/>
      <c r="G291" s="88">
        <f aca="true" t="shared" si="32" ref="G291:I292">G292</f>
        <v>2744.6</v>
      </c>
      <c r="H291" s="88">
        <f t="shared" si="32"/>
        <v>2607.4</v>
      </c>
      <c r="I291" s="88">
        <f t="shared" si="32"/>
        <v>2607.4</v>
      </c>
      <c r="J291" s="42"/>
      <c r="M291" s="36"/>
    </row>
    <row r="292" spans="1:13" s="35" customFormat="1" ht="70.5" customHeight="1">
      <c r="A292" s="125" t="s">
        <v>705</v>
      </c>
      <c r="B292" s="103">
        <v>805</v>
      </c>
      <c r="C292" s="87" t="s">
        <v>508</v>
      </c>
      <c r="D292" s="87" t="s">
        <v>790</v>
      </c>
      <c r="E292" s="87" t="s">
        <v>458</v>
      </c>
      <c r="F292" s="87"/>
      <c r="G292" s="88">
        <f t="shared" si="32"/>
        <v>2744.6</v>
      </c>
      <c r="H292" s="88">
        <f t="shared" si="32"/>
        <v>2607.4</v>
      </c>
      <c r="I292" s="88">
        <f t="shared" si="32"/>
        <v>2607.4</v>
      </c>
      <c r="J292" s="42"/>
      <c r="M292" s="36"/>
    </row>
    <row r="293" spans="1:13" s="35" customFormat="1" ht="18" customHeight="1">
      <c r="A293" s="125" t="s">
        <v>140</v>
      </c>
      <c r="B293" s="103">
        <v>805</v>
      </c>
      <c r="C293" s="87" t="s">
        <v>508</v>
      </c>
      <c r="D293" s="87" t="s">
        <v>790</v>
      </c>
      <c r="E293" s="87" t="s">
        <v>458</v>
      </c>
      <c r="F293" s="87" t="s">
        <v>545</v>
      </c>
      <c r="G293" s="88">
        <v>2744.6</v>
      </c>
      <c r="H293" s="88">
        <v>2607.4</v>
      </c>
      <c r="I293" s="88">
        <v>2607.4</v>
      </c>
      <c r="J293" s="42"/>
      <c r="M293" s="36"/>
    </row>
    <row r="294" spans="1:29" ht="19.5" customHeight="1">
      <c r="A294" s="131" t="s">
        <v>103</v>
      </c>
      <c r="B294" s="103">
        <v>805</v>
      </c>
      <c r="C294" s="87" t="s">
        <v>508</v>
      </c>
      <c r="D294" s="87" t="s">
        <v>791</v>
      </c>
      <c r="E294" s="87"/>
      <c r="F294" s="87"/>
      <c r="G294" s="88">
        <f>SUM(G295,G303,G308,G311,G320,G314,)</f>
        <v>997074.2</v>
      </c>
      <c r="H294" s="88">
        <f>SUM(H295,H303,H308,H311,H320,H314,)</f>
        <v>955455.3</v>
      </c>
      <c r="I294" s="88">
        <f>SUM(I295,I303,I308,I311,I320,I314,)</f>
        <v>966938.8</v>
      </c>
      <c r="J294" s="42"/>
      <c r="K294" s="35"/>
      <c r="L294" s="35"/>
      <c r="M294" s="36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</row>
    <row r="295" spans="1:29" ht="18" customHeight="1">
      <c r="A295" s="131" t="s">
        <v>283</v>
      </c>
      <c r="B295" s="103">
        <v>805</v>
      </c>
      <c r="C295" s="87" t="s">
        <v>508</v>
      </c>
      <c r="D295" s="87" t="s">
        <v>791</v>
      </c>
      <c r="E295" s="87" t="s">
        <v>439</v>
      </c>
      <c r="F295" s="87"/>
      <c r="G295" s="88">
        <f>SUM(G296,G298)</f>
        <v>674483.8</v>
      </c>
      <c r="H295" s="88">
        <f>SUM(H296,H298)</f>
        <v>647008.3</v>
      </c>
      <c r="I295" s="88">
        <f>SUM(I296,I298)</f>
        <v>658032.6000000001</v>
      </c>
      <c r="J295" s="42"/>
      <c r="K295" s="35"/>
      <c r="L295" s="35"/>
      <c r="M295" s="36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</row>
    <row r="296" spans="1:29" ht="18.75" customHeight="1">
      <c r="A296" s="131" t="s">
        <v>475</v>
      </c>
      <c r="B296" s="103">
        <v>805</v>
      </c>
      <c r="C296" s="87" t="s">
        <v>508</v>
      </c>
      <c r="D296" s="87" t="s">
        <v>791</v>
      </c>
      <c r="E296" s="87" t="s">
        <v>477</v>
      </c>
      <c r="F296" s="87"/>
      <c r="G296" s="88">
        <f>SUM(G297)</f>
        <v>26728.8</v>
      </c>
      <c r="H296" s="88">
        <f>SUM(H297)</f>
        <v>26728.8</v>
      </c>
      <c r="I296" s="88">
        <f>SUM(I297)</f>
        <v>26728.8</v>
      </c>
      <c r="J296" s="42"/>
      <c r="K296" s="35"/>
      <c r="L296" s="35"/>
      <c r="M296" s="36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</row>
    <row r="297" spans="1:29" ht="16.5">
      <c r="A297" s="125" t="s">
        <v>698</v>
      </c>
      <c r="B297" s="103">
        <v>805</v>
      </c>
      <c r="C297" s="87" t="s">
        <v>508</v>
      </c>
      <c r="D297" s="87" t="s">
        <v>791</v>
      </c>
      <c r="E297" s="87" t="s">
        <v>477</v>
      </c>
      <c r="F297" s="87" t="s">
        <v>545</v>
      </c>
      <c r="G297" s="88">
        <v>26728.8</v>
      </c>
      <c r="H297" s="88">
        <v>26728.8</v>
      </c>
      <c r="I297" s="88">
        <v>26728.8</v>
      </c>
      <c r="J297" s="42"/>
      <c r="K297" s="35"/>
      <c r="L297" s="35"/>
      <c r="M297" s="36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</row>
    <row r="298" spans="1:29" ht="18.75" customHeight="1">
      <c r="A298" s="131" t="s">
        <v>389</v>
      </c>
      <c r="B298" s="103">
        <v>805</v>
      </c>
      <c r="C298" s="87" t="s">
        <v>508</v>
      </c>
      <c r="D298" s="87" t="s">
        <v>791</v>
      </c>
      <c r="E298" s="87" t="s">
        <v>440</v>
      </c>
      <c r="F298" s="87"/>
      <c r="G298" s="88">
        <f>SUM(G299:G302)</f>
        <v>647755</v>
      </c>
      <c r="H298" s="88">
        <f>SUM(H299:H302)</f>
        <v>620279.5</v>
      </c>
      <c r="I298" s="88">
        <f>SUM(I299:I302)</f>
        <v>631303.8</v>
      </c>
      <c r="J298" s="42"/>
      <c r="K298" s="35"/>
      <c r="L298" s="35"/>
      <c r="M298" s="36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</row>
    <row r="299" spans="1:29" ht="16.5">
      <c r="A299" s="125" t="s">
        <v>698</v>
      </c>
      <c r="B299" s="103">
        <v>805</v>
      </c>
      <c r="C299" s="87" t="s">
        <v>508</v>
      </c>
      <c r="D299" s="87" t="s">
        <v>791</v>
      </c>
      <c r="E299" s="87" t="s">
        <v>440</v>
      </c>
      <c r="F299" s="87" t="s">
        <v>545</v>
      </c>
      <c r="G299" s="88">
        <v>117977.4</v>
      </c>
      <c r="H299" s="88">
        <f>116957.2+33.6</f>
        <v>116990.8</v>
      </c>
      <c r="I299" s="88">
        <v>128015.1</v>
      </c>
      <c r="J299" s="42"/>
      <c r="K299" s="35"/>
      <c r="L299" s="35"/>
      <c r="M299" s="36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</row>
    <row r="300" spans="1:29" ht="16.5">
      <c r="A300" s="125" t="s">
        <v>717</v>
      </c>
      <c r="B300" s="103">
        <v>805</v>
      </c>
      <c r="C300" s="87" t="s">
        <v>508</v>
      </c>
      <c r="D300" s="87" t="s">
        <v>791</v>
      </c>
      <c r="E300" s="87" t="s">
        <v>440</v>
      </c>
      <c r="F300" s="87" t="s">
        <v>450</v>
      </c>
      <c r="G300" s="88">
        <v>529777.6</v>
      </c>
      <c r="H300" s="88">
        <v>503288.7</v>
      </c>
      <c r="I300" s="88">
        <v>503288.7</v>
      </c>
      <c r="J300" s="42"/>
      <c r="K300" s="35"/>
      <c r="L300" s="35"/>
      <c r="M300" s="36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</row>
    <row r="301" spans="1:29" ht="35.25" customHeight="1" hidden="1">
      <c r="A301" s="145" t="s">
        <v>552</v>
      </c>
      <c r="B301" s="103">
        <v>805</v>
      </c>
      <c r="C301" s="87" t="s">
        <v>508</v>
      </c>
      <c r="D301" s="87" t="s">
        <v>791</v>
      </c>
      <c r="E301" s="87" t="s">
        <v>440</v>
      </c>
      <c r="F301" s="87" t="s">
        <v>551</v>
      </c>
      <c r="G301" s="88"/>
      <c r="H301" s="88"/>
      <c r="I301" s="88"/>
      <c r="J301" s="53" t="s">
        <v>555</v>
      </c>
      <c r="K301" s="54" t="s">
        <v>556</v>
      </c>
      <c r="L301" s="35"/>
      <c r="M301" s="36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</row>
    <row r="302" spans="1:29" ht="18.75" hidden="1">
      <c r="A302" s="146" t="s">
        <v>558</v>
      </c>
      <c r="B302" s="103">
        <v>805</v>
      </c>
      <c r="C302" s="87" t="s">
        <v>508</v>
      </c>
      <c r="D302" s="87" t="s">
        <v>791</v>
      </c>
      <c r="E302" s="87" t="s">
        <v>440</v>
      </c>
      <c r="F302" s="87" t="s">
        <v>559</v>
      </c>
      <c r="G302" s="88"/>
      <c r="H302" s="88"/>
      <c r="I302" s="88"/>
      <c r="J302" s="42"/>
      <c r="K302" s="35"/>
      <c r="L302" s="35"/>
      <c r="M302" s="36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</row>
    <row r="303" spans="1:29" ht="18" customHeight="1">
      <c r="A303" s="131" t="s">
        <v>465</v>
      </c>
      <c r="B303" s="103">
        <v>805</v>
      </c>
      <c r="C303" s="87" t="s">
        <v>508</v>
      </c>
      <c r="D303" s="87" t="s">
        <v>791</v>
      </c>
      <c r="E303" s="87" t="s">
        <v>442</v>
      </c>
      <c r="F303" s="87"/>
      <c r="G303" s="88">
        <f>SUM(G304,G306)</f>
        <v>60833.5</v>
      </c>
      <c r="H303" s="88">
        <f>SUM(H304,H306)</f>
        <v>61067.5</v>
      </c>
      <c r="I303" s="88">
        <f>SUM(I304,I306)</f>
        <v>61526.7</v>
      </c>
      <c r="J303" s="42"/>
      <c r="K303" s="35"/>
      <c r="L303" s="35"/>
      <c r="M303" s="36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</row>
    <row r="304" spans="1:29" ht="18" customHeight="1">
      <c r="A304" s="131" t="s">
        <v>475</v>
      </c>
      <c r="B304" s="103">
        <v>805</v>
      </c>
      <c r="C304" s="87" t="s">
        <v>508</v>
      </c>
      <c r="D304" s="87" t="s">
        <v>791</v>
      </c>
      <c r="E304" s="87" t="s">
        <v>478</v>
      </c>
      <c r="F304" s="87"/>
      <c r="G304" s="88">
        <f>SUM(G305)</f>
        <v>1055.2</v>
      </c>
      <c r="H304" s="88">
        <f>SUM(H305)</f>
        <v>1055.2</v>
      </c>
      <c r="I304" s="88">
        <f>SUM(I305)</f>
        <v>1055.2</v>
      </c>
      <c r="J304" s="42"/>
      <c r="K304" s="35"/>
      <c r="L304" s="35"/>
      <c r="M304" s="36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</row>
    <row r="305" spans="1:29" ht="16.5">
      <c r="A305" s="125" t="s">
        <v>836</v>
      </c>
      <c r="B305" s="103">
        <v>805</v>
      </c>
      <c r="C305" s="87" t="s">
        <v>508</v>
      </c>
      <c r="D305" s="87" t="s">
        <v>791</v>
      </c>
      <c r="E305" s="87" t="s">
        <v>478</v>
      </c>
      <c r="F305" s="87" t="s">
        <v>545</v>
      </c>
      <c r="G305" s="88">
        <v>1055.2</v>
      </c>
      <c r="H305" s="88">
        <v>1055.2</v>
      </c>
      <c r="I305" s="88">
        <v>1055.2</v>
      </c>
      <c r="J305" s="42"/>
      <c r="K305" s="35"/>
      <c r="L305" s="35"/>
      <c r="M305" s="36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</row>
    <row r="306" spans="1:29" ht="21" customHeight="1">
      <c r="A306" s="131" t="s">
        <v>389</v>
      </c>
      <c r="B306" s="103">
        <v>805</v>
      </c>
      <c r="C306" s="87" t="s">
        <v>508</v>
      </c>
      <c r="D306" s="87" t="s">
        <v>791</v>
      </c>
      <c r="E306" s="87" t="s">
        <v>443</v>
      </c>
      <c r="F306" s="87"/>
      <c r="G306" s="88">
        <f>SUM(G307)</f>
        <v>59778.3</v>
      </c>
      <c r="H306" s="88">
        <f>SUM(H307)</f>
        <v>60012.3</v>
      </c>
      <c r="I306" s="88">
        <f>SUM(I307)</f>
        <v>60471.5</v>
      </c>
      <c r="J306" s="42"/>
      <c r="K306" s="35"/>
      <c r="L306" s="35"/>
      <c r="M306" s="36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</row>
    <row r="307" spans="1:29" ht="20.25" customHeight="1">
      <c r="A307" s="125" t="s">
        <v>836</v>
      </c>
      <c r="B307" s="103">
        <v>805</v>
      </c>
      <c r="C307" s="87" t="s">
        <v>508</v>
      </c>
      <c r="D307" s="87" t="s">
        <v>791</v>
      </c>
      <c r="E307" s="87" t="s">
        <v>443</v>
      </c>
      <c r="F307" s="87" t="s">
        <v>545</v>
      </c>
      <c r="G307" s="88">
        <v>59778.3</v>
      </c>
      <c r="H307" s="88">
        <v>60012.3</v>
      </c>
      <c r="I307" s="88">
        <v>60471.5</v>
      </c>
      <c r="J307" s="42"/>
      <c r="K307" s="35"/>
      <c r="L307" s="35"/>
      <c r="M307" s="36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</row>
    <row r="308" spans="1:29" ht="16.5">
      <c r="A308" s="131" t="s">
        <v>466</v>
      </c>
      <c r="B308" s="103">
        <v>805</v>
      </c>
      <c r="C308" s="87" t="s">
        <v>508</v>
      </c>
      <c r="D308" s="87" t="s">
        <v>791</v>
      </c>
      <c r="E308" s="87" t="s">
        <v>444</v>
      </c>
      <c r="F308" s="87"/>
      <c r="G308" s="88">
        <f aca="true" t="shared" si="33" ref="G308:I309">SUM(G309)</f>
        <v>33.6</v>
      </c>
      <c r="H308" s="88">
        <f t="shared" si="33"/>
        <v>33.6</v>
      </c>
      <c r="I308" s="88">
        <f t="shared" si="33"/>
        <v>33.6</v>
      </c>
      <c r="J308" s="42"/>
      <c r="K308" s="35"/>
      <c r="L308" s="35"/>
      <c r="M308" s="36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</row>
    <row r="309" spans="1:29" ht="17.25" customHeight="1">
      <c r="A309" s="131" t="s">
        <v>389</v>
      </c>
      <c r="B309" s="103">
        <v>805</v>
      </c>
      <c r="C309" s="87" t="s">
        <v>508</v>
      </c>
      <c r="D309" s="87" t="s">
        <v>791</v>
      </c>
      <c r="E309" s="87" t="s">
        <v>445</v>
      </c>
      <c r="F309" s="87"/>
      <c r="G309" s="88">
        <f t="shared" si="33"/>
        <v>33.6</v>
      </c>
      <c r="H309" s="88">
        <f t="shared" si="33"/>
        <v>33.6</v>
      </c>
      <c r="I309" s="88">
        <f t="shared" si="33"/>
        <v>33.6</v>
      </c>
      <c r="J309" s="42"/>
      <c r="K309" s="35"/>
      <c r="L309" s="35"/>
      <c r="M309" s="36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</row>
    <row r="310" spans="1:29" ht="16.5">
      <c r="A310" s="125" t="s">
        <v>836</v>
      </c>
      <c r="B310" s="103">
        <v>805</v>
      </c>
      <c r="C310" s="87" t="s">
        <v>508</v>
      </c>
      <c r="D310" s="87" t="s">
        <v>791</v>
      </c>
      <c r="E310" s="87" t="s">
        <v>445</v>
      </c>
      <c r="F310" s="87" t="s">
        <v>545</v>
      </c>
      <c r="G310" s="88">
        <v>33.6</v>
      </c>
      <c r="H310" s="88">
        <v>33.6</v>
      </c>
      <c r="I310" s="88">
        <v>33.6</v>
      </c>
      <c r="J310" s="42"/>
      <c r="K310" s="35"/>
      <c r="L310" s="35"/>
      <c r="M310" s="36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</row>
    <row r="311" spans="1:29" ht="19.5" customHeight="1">
      <c r="A311" s="131" t="s">
        <v>322</v>
      </c>
      <c r="B311" s="103">
        <v>805</v>
      </c>
      <c r="C311" s="87" t="s">
        <v>508</v>
      </c>
      <c r="D311" s="87" t="s">
        <v>791</v>
      </c>
      <c r="E311" s="87" t="s">
        <v>446</v>
      </c>
      <c r="F311" s="87"/>
      <c r="G311" s="88">
        <f aca="true" t="shared" si="34" ref="G311:I312">SUM(G312)</f>
        <v>33.6</v>
      </c>
      <c r="H311" s="88">
        <f t="shared" si="34"/>
        <v>33.6</v>
      </c>
      <c r="I311" s="88">
        <f t="shared" si="34"/>
        <v>33.6</v>
      </c>
      <c r="J311" s="42"/>
      <c r="K311" s="35"/>
      <c r="L311" s="35"/>
      <c r="M311" s="36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</row>
    <row r="312" spans="1:29" ht="19.5" customHeight="1">
      <c r="A312" s="131" t="s">
        <v>389</v>
      </c>
      <c r="B312" s="103">
        <v>805</v>
      </c>
      <c r="C312" s="87" t="s">
        <v>508</v>
      </c>
      <c r="D312" s="87" t="s">
        <v>791</v>
      </c>
      <c r="E312" s="87" t="s">
        <v>447</v>
      </c>
      <c r="F312" s="87"/>
      <c r="G312" s="88">
        <f t="shared" si="34"/>
        <v>33.6</v>
      </c>
      <c r="H312" s="88">
        <f t="shared" si="34"/>
        <v>33.6</v>
      </c>
      <c r="I312" s="88">
        <f t="shared" si="34"/>
        <v>33.6</v>
      </c>
      <c r="J312" s="42"/>
      <c r="K312" s="35"/>
      <c r="L312" s="35"/>
      <c r="M312" s="36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</row>
    <row r="313" spans="1:29" ht="16.5">
      <c r="A313" s="125" t="s">
        <v>836</v>
      </c>
      <c r="B313" s="103">
        <v>805</v>
      </c>
      <c r="C313" s="87" t="s">
        <v>508</v>
      </c>
      <c r="D313" s="87" t="s">
        <v>791</v>
      </c>
      <c r="E313" s="87" t="s">
        <v>447</v>
      </c>
      <c r="F313" s="87" t="s">
        <v>545</v>
      </c>
      <c r="G313" s="88">
        <v>33.6</v>
      </c>
      <c r="H313" s="88">
        <v>33.6</v>
      </c>
      <c r="I313" s="88">
        <v>33.6</v>
      </c>
      <c r="J313" s="42"/>
      <c r="K313" s="35"/>
      <c r="L313" s="35"/>
      <c r="M313" s="36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</row>
    <row r="314" spans="1:29" ht="16.5">
      <c r="A314" s="125" t="s">
        <v>455</v>
      </c>
      <c r="B314" s="103">
        <v>805</v>
      </c>
      <c r="C314" s="87" t="s">
        <v>508</v>
      </c>
      <c r="D314" s="87" t="s">
        <v>791</v>
      </c>
      <c r="E314" s="87" t="s">
        <v>454</v>
      </c>
      <c r="F314" s="87"/>
      <c r="G314" s="88">
        <f>G315</f>
        <v>67068</v>
      </c>
      <c r="H314" s="88">
        <f>H315</f>
        <v>67068</v>
      </c>
      <c r="I314" s="88">
        <f>I315</f>
        <v>67068</v>
      </c>
      <c r="J314" s="42"/>
      <c r="K314" s="35"/>
      <c r="L314" s="35"/>
      <c r="M314" s="36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</row>
    <row r="315" spans="1:29" ht="32.25" customHeight="1">
      <c r="A315" s="125" t="s">
        <v>645</v>
      </c>
      <c r="B315" s="103">
        <v>805</v>
      </c>
      <c r="C315" s="87" t="s">
        <v>508</v>
      </c>
      <c r="D315" s="87" t="s">
        <v>791</v>
      </c>
      <c r="E315" s="87" t="s">
        <v>453</v>
      </c>
      <c r="F315" s="87"/>
      <c r="G315" s="88">
        <f>G318+G316</f>
        <v>67068</v>
      </c>
      <c r="H315" s="88">
        <f>H318+H316</f>
        <v>67068</v>
      </c>
      <c r="I315" s="88">
        <f>I318+I316</f>
        <v>67068</v>
      </c>
      <c r="J315" s="42"/>
      <c r="K315" s="35"/>
      <c r="L315" s="35"/>
      <c r="M315" s="36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</row>
    <row r="316" spans="1:29" ht="18.75" customHeight="1">
      <c r="A316" s="125" t="s">
        <v>706</v>
      </c>
      <c r="B316" s="103">
        <v>805</v>
      </c>
      <c r="C316" s="87" t="s">
        <v>508</v>
      </c>
      <c r="D316" s="87" t="s">
        <v>791</v>
      </c>
      <c r="E316" s="87" t="s">
        <v>456</v>
      </c>
      <c r="F316" s="87"/>
      <c r="G316" s="88">
        <f>G317</f>
        <v>47937</v>
      </c>
      <c r="H316" s="88">
        <f>H317</f>
        <v>47937</v>
      </c>
      <c r="I316" s="88">
        <f>I317</f>
        <v>47937</v>
      </c>
      <c r="J316" s="42"/>
      <c r="K316" s="35"/>
      <c r="L316" s="35"/>
      <c r="M316" s="36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</row>
    <row r="317" spans="1:29" ht="18.75" customHeight="1">
      <c r="A317" s="125" t="s">
        <v>836</v>
      </c>
      <c r="B317" s="103">
        <v>805</v>
      </c>
      <c r="C317" s="87" t="s">
        <v>508</v>
      </c>
      <c r="D317" s="87" t="s">
        <v>791</v>
      </c>
      <c r="E317" s="87" t="s">
        <v>456</v>
      </c>
      <c r="F317" s="87" t="s">
        <v>545</v>
      </c>
      <c r="G317" s="88">
        <v>47937</v>
      </c>
      <c r="H317" s="88">
        <v>47937</v>
      </c>
      <c r="I317" s="88">
        <v>47937</v>
      </c>
      <c r="J317" s="42"/>
      <c r="K317" s="35"/>
      <c r="L317" s="35"/>
      <c r="M317" s="36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</row>
    <row r="318" spans="1:29" ht="33">
      <c r="A318" s="125" t="s">
        <v>576</v>
      </c>
      <c r="B318" s="103">
        <v>805</v>
      </c>
      <c r="C318" s="87" t="s">
        <v>508</v>
      </c>
      <c r="D318" s="87" t="s">
        <v>791</v>
      </c>
      <c r="E318" s="87" t="s">
        <v>452</v>
      </c>
      <c r="F318" s="87"/>
      <c r="G318" s="88">
        <f>G319</f>
        <v>19131</v>
      </c>
      <c r="H318" s="88">
        <f>H319</f>
        <v>19131</v>
      </c>
      <c r="I318" s="88">
        <f>I319</f>
        <v>19131</v>
      </c>
      <c r="J318" s="42"/>
      <c r="K318" s="35"/>
      <c r="L318" s="35"/>
      <c r="M318" s="36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</row>
    <row r="319" spans="1:29" ht="16.5">
      <c r="A319" s="125" t="s">
        <v>836</v>
      </c>
      <c r="B319" s="103">
        <v>805</v>
      </c>
      <c r="C319" s="87" t="s">
        <v>508</v>
      </c>
      <c r="D319" s="87" t="s">
        <v>791</v>
      </c>
      <c r="E319" s="87" t="s">
        <v>452</v>
      </c>
      <c r="F319" s="87" t="s">
        <v>545</v>
      </c>
      <c r="G319" s="88">
        <v>19131</v>
      </c>
      <c r="H319" s="88">
        <v>19131</v>
      </c>
      <c r="I319" s="88">
        <v>19131</v>
      </c>
      <c r="J319" s="42"/>
      <c r="K319" s="35"/>
      <c r="L319" s="35"/>
      <c r="M319" s="36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</row>
    <row r="320" spans="1:29" ht="18.75" customHeight="1">
      <c r="A320" s="125" t="s">
        <v>701</v>
      </c>
      <c r="B320" s="103">
        <v>805</v>
      </c>
      <c r="C320" s="87" t="s">
        <v>508</v>
      </c>
      <c r="D320" s="87" t="s">
        <v>791</v>
      </c>
      <c r="E320" s="87" t="s">
        <v>15</v>
      </c>
      <c r="F320" s="87"/>
      <c r="G320" s="88">
        <f>G321</f>
        <v>194621.7</v>
      </c>
      <c r="H320" s="88">
        <f>H321</f>
        <v>180244.30000000002</v>
      </c>
      <c r="I320" s="88">
        <f>I321</f>
        <v>180244.30000000002</v>
      </c>
      <c r="J320" s="42"/>
      <c r="K320" s="35"/>
      <c r="L320" s="35"/>
      <c r="M320" s="36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</row>
    <row r="321" spans="1:29" ht="20.25" customHeight="1">
      <c r="A321" s="125" t="s">
        <v>702</v>
      </c>
      <c r="B321" s="103">
        <v>805</v>
      </c>
      <c r="C321" s="87" t="s">
        <v>508</v>
      </c>
      <c r="D321" s="87" t="s">
        <v>791</v>
      </c>
      <c r="E321" s="87" t="s">
        <v>18</v>
      </c>
      <c r="F321" s="87"/>
      <c r="G321" s="88">
        <f>G322+G326+G324</f>
        <v>194621.7</v>
      </c>
      <c r="H321" s="88">
        <f>H322+H326+H324</f>
        <v>180244.30000000002</v>
      </c>
      <c r="I321" s="88">
        <f>I322+I326+I324</f>
        <v>180244.30000000002</v>
      </c>
      <c r="J321" s="42"/>
      <c r="K321" s="35"/>
      <c r="L321" s="35"/>
      <c r="M321" s="36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</row>
    <row r="322" spans="1:29" ht="135.75" customHeight="1">
      <c r="A322" s="118" t="s">
        <v>709</v>
      </c>
      <c r="B322" s="103">
        <v>805</v>
      </c>
      <c r="C322" s="87" t="s">
        <v>508</v>
      </c>
      <c r="D322" s="87" t="s">
        <v>791</v>
      </c>
      <c r="E322" s="87" t="s">
        <v>20</v>
      </c>
      <c r="F322" s="87"/>
      <c r="G322" s="88">
        <f>G323</f>
        <v>123855.7</v>
      </c>
      <c r="H322" s="88">
        <f>H323</f>
        <v>117659.3</v>
      </c>
      <c r="I322" s="88">
        <f>I323</f>
        <v>117659.3</v>
      </c>
      <c r="J322" s="42"/>
      <c r="K322" s="35"/>
      <c r="L322" s="35"/>
      <c r="M322" s="36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</row>
    <row r="323" spans="1:29" ht="21" customHeight="1">
      <c r="A323" s="125" t="s">
        <v>140</v>
      </c>
      <c r="B323" s="103">
        <v>805</v>
      </c>
      <c r="C323" s="87" t="s">
        <v>508</v>
      </c>
      <c r="D323" s="87" t="s">
        <v>791</v>
      </c>
      <c r="E323" s="87" t="s">
        <v>20</v>
      </c>
      <c r="F323" s="87" t="s">
        <v>545</v>
      </c>
      <c r="G323" s="88">
        <v>123855.7</v>
      </c>
      <c r="H323" s="88">
        <v>117659.3</v>
      </c>
      <c r="I323" s="88">
        <v>117659.3</v>
      </c>
      <c r="J323" s="42"/>
      <c r="K323" s="35"/>
      <c r="L323" s="35"/>
      <c r="M323" s="36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</row>
    <row r="324" spans="1:29" ht="105" customHeight="1">
      <c r="A324" s="137" t="s">
        <v>316</v>
      </c>
      <c r="B324" s="103">
        <v>805</v>
      </c>
      <c r="C324" s="87" t="s">
        <v>508</v>
      </c>
      <c r="D324" s="87" t="s">
        <v>791</v>
      </c>
      <c r="E324" s="87" t="s">
        <v>459</v>
      </c>
      <c r="F324" s="87"/>
      <c r="G324" s="88">
        <f>G325</f>
        <v>70409.6</v>
      </c>
      <c r="H324" s="88">
        <f>H325</f>
        <v>62246.4</v>
      </c>
      <c r="I324" s="88">
        <f>I325</f>
        <v>62246.4</v>
      </c>
      <c r="J324" s="42"/>
      <c r="K324" s="35"/>
      <c r="L324" s="35"/>
      <c r="M324" s="36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</row>
    <row r="325" spans="1:29" ht="21" customHeight="1">
      <c r="A325" s="125" t="s">
        <v>836</v>
      </c>
      <c r="B325" s="103">
        <v>805</v>
      </c>
      <c r="C325" s="87" t="s">
        <v>508</v>
      </c>
      <c r="D325" s="87" t="s">
        <v>791</v>
      </c>
      <c r="E325" s="87" t="s">
        <v>459</v>
      </c>
      <c r="F325" s="87" t="s">
        <v>545</v>
      </c>
      <c r="G325" s="88">
        <v>70409.6</v>
      </c>
      <c r="H325" s="88">
        <v>62246.4</v>
      </c>
      <c r="I325" s="88">
        <v>62246.4</v>
      </c>
      <c r="J325" s="42"/>
      <c r="K325" s="35"/>
      <c r="L325" s="35"/>
      <c r="M325" s="36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</row>
    <row r="326" spans="1:29" ht="51.75" customHeight="1">
      <c r="A326" s="138" t="s">
        <v>317</v>
      </c>
      <c r="B326" s="103">
        <v>805</v>
      </c>
      <c r="C326" s="87" t="s">
        <v>508</v>
      </c>
      <c r="D326" s="87" t="s">
        <v>791</v>
      </c>
      <c r="E326" s="87" t="s">
        <v>451</v>
      </c>
      <c r="F326" s="87"/>
      <c r="G326" s="88">
        <f>G327</f>
        <v>356.4</v>
      </c>
      <c r="H326" s="88">
        <f>H327</f>
        <v>338.6</v>
      </c>
      <c r="I326" s="88">
        <f>I327</f>
        <v>338.6</v>
      </c>
      <c r="J326" s="42"/>
      <c r="K326" s="35"/>
      <c r="L326" s="35"/>
      <c r="M326" s="36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</row>
    <row r="327" spans="1:29" ht="21" customHeight="1">
      <c r="A327" s="125" t="s">
        <v>836</v>
      </c>
      <c r="B327" s="103">
        <v>805</v>
      </c>
      <c r="C327" s="87" t="s">
        <v>508</v>
      </c>
      <c r="D327" s="87" t="s">
        <v>791</v>
      </c>
      <c r="E327" s="87" t="s">
        <v>451</v>
      </c>
      <c r="F327" s="87" t="s">
        <v>545</v>
      </c>
      <c r="G327" s="88">
        <v>356.4</v>
      </c>
      <c r="H327" s="88">
        <v>338.6</v>
      </c>
      <c r="I327" s="88">
        <v>338.6</v>
      </c>
      <c r="J327" s="42"/>
      <c r="K327" s="35"/>
      <c r="L327" s="35"/>
      <c r="M327" s="36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</row>
    <row r="328" spans="1:29" ht="18.75" customHeight="1" hidden="1">
      <c r="A328" s="125" t="s">
        <v>24</v>
      </c>
      <c r="B328" s="103">
        <v>805</v>
      </c>
      <c r="C328" s="87" t="s">
        <v>508</v>
      </c>
      <c r="D328" s="87" t="s">
        <v>792</v>
      </c>
      <c r="E328" s="87"/>
      <c r="F328" s="87"/>
      <c r="G328" s="88">
        <f>G329</f>
        <v>0</v>
      </c>
      <c r="H328" s="88">
        <f aca="true" t="shared" si="35" ref="H328:I330">H329</f>
        <v>0</v>
      </c>
      <c r="I328" s="88">
        <f t="shared" si="35"/>
        <v>0</v>
      </c>
      <c r="J328" s="42"/>
      <c r="K328" s="35"/>
      <c r="L328" s="35"/>
      <c r="M328" s="36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</row>
    <row r="329" spans="1:29" ht="18.75" customHeight="1" hidden="1">
      <c r="A329" s="125" t="s">
        <v>25</v>
      </c>
      <c r="B329" s="103">
        <v>805</v>
      </c>
      <c r="C329" s="87" t="s">
        <v>508</v>
      </c>
      <c r="D329" s="87" t="s">
        <v>792</v>
      </c>
      <c r="E329" s="87" t="s">
        <v>22</v>
      </c>
      <c r="F329" s="87"/>
      <c r="G329" s="88">
        <f>G330</f>
        <v>0</v>
      </c>
      <c r="H329" s="88">
        <f t="shared" si="35"/>
        <v>0</v>
      </c>
      <c r="I329" s="88">
        <f t="shared" si="35"/>
        <v>0</v>
      </c>
      <c r="J329" s="42"/>
      <c r="K329" s="35"/>
      <c r="L329" s="35"/>
      <c r="M329" s="36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</row>
    <row r="330" spans="1:29" ht="18.75" customHeight="1" hidden="1">
      <c r="A330" s="131" t="s">
        <v>389</v>
      </c>
      <c r="B330" s="103">
        <v>805</v>
      </c>
      <c r="C330" s="87" t="s">
        <v>508</v>
      </c>
      <c r="D330" s="87" t="s">
        <v>792</v>
      </c>
      <c r="E330" s="87" t="s">
        <v>23</v>
      </c>
      <c r="F330" s="87"/>
      <c r="G330" s="88">
        <f>G331</f>
        <v>0</v>
      </c>
      <c r="H330" s="88">
        <f t="shared" si="35"/>
        <v>0</v>
      </c>
      <c r="I330" s="88">
        <f t="shared" si="35"/>
        <v>0</v>
      </c>
      <c r="J330" s="42"/>
      <c r="K330" s="35"/>
      <c r="L330" s="35"/>
      <c r="M330" s="36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</row>
    <row r="331" spans="1:29" ht="18.75" customHeight="1" hidden="1">
      <c r="A331" s="125" t="s">
        <v>836</v>
      </c>
      <c r="B331" s="103">
        <v>805</v>
      </c>
      <c r="C331" s="87" t="s">
        <v>508</v>
      </c>
      <c r="D331" s="87" t="s">
        <v>792</v>
      </c>
      <c r="E331" s="87" t="s">
        <v>23</v>
      </c>
      <c r="F331" s="87" t="s">
        <v>545</v>
      </c>
      <c r="G331" s="88"/>
      <c r="H331" s="88"/>
      <c r="I331" s="88"/>
      <c r="J331" s="42"/>
      <c r="K331" s="35"/>
      <c r="L331" s="35"/>
      <c r="M331" s="36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</row>
    <row r="332" spans="1:29" ht="18" customHeight="1" hidden="1">
      <c r="A332" s="131" t="s">
        <v>546</v>
      </c>
      <c r="B332" s="87" t="s">
        <v>837</v>
      </c>
      <c r="C332" s="87" t="s">
        <v>508</v>
      </c>
      <c r="D332" s="87" t="s">
        <v>42</v>
      </c>
      <c r="E332" s="87"/>
      <c r="F332" s="87"/>
      <c r="G332" s="88">
        <f>SUM(G333,)</f>
        <v>0</v>
      </c>
      <c r="H332" s="88">
        <f>SUM(H333,)</f>
        <v>0</v>
      </c>
      <c r="I332" s="88">
        <f>SUM(I333,)</f>
        <v>0</v>
      </c>
      <c r="J332" s="42"/>
      <c r="K332" s="35"/>
      <c r="L332" s="35"/>
      <c r="M332" s="36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</row>
    <row r="333" spans="1:29" ht="18.75" customHeight="1" hidden="1">
      <c r="A333" s="140" t="s">
        <v>528</v>
      </c>
      <c r="B333" s="103">
        <v>805</v>
      </c>
      <c r="C333" s="87" t="s">
        <v>508</v>
      </c>
      <c r="D333" s="87" t="s">
        <v>42</v>
      </c>
      <c r="E333" s="87" t="s">
        <v>527</v>
      </c>
      <c r="F333" s="87"/>
      <c r="G333" s="88">
        <f>SUM(G334,G336)</f>
        <v>0</v>
      </c>
      <c r="H333" s="88">
        <f>SUM(H334,H336)</f>
        <v>0</v>
      </c>
      <c r="I333" s="88">
        <f>SUM(I334,I336)</f>
        <v>0</v>
      </c>
      <c r="J333" s="42"/>
      <c r="K333" s="35"/>
      <c r="L333" s="35"/>
      <c r="M333" s="36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</row>
    <row r="334" spans="1:29" ht="20.25" customHeight="1" hidden="1">
      <c r="A334" s="131" t="s">
        <v>475</v>
      </c>
      <c r="B334" s="103">
        <v>805</v>
      </c>
      <c r="C334" s="87" t="s">
        <v>508</v>
      </c>
      <c r="D334" s="87" t="s">
        <v>42</v>
      </c>
      <c r="E334" s="87" t="s">
        <v>530</v>
      </c>
      <c r="F334" s="87"/>
      <c r="G334" s="88">
        <f>SUM(G335)</f>
        <v>0</v>
      </c>
      <c r="H334" s="88">
        <f>SUM(H335)</f>
        <v>0</v>
      </c>
      <c r="I334" s="88">
        <f>SUM(I335)</f>
        <v>0</v>
      </c>
      <c r="J334" s="42"/>
      <c r="K334" s="35"/>
      <c r="L334" s="35"/>
      <c r="M334" s="36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</row>
    <row r="335" spans="1:29" ht="18" customHeight="1" hidden="1">
      <c r="A335" s="125" t="s">
        <v>836</v>
      </c>
      <c r="B335" s="103">
        <v>805</v>
      </c>
      <c r="C335" s="87" t="s">
        <v>508</v>
      </c>
      <c r="D335" s="87" t="s">
        <v>42</v>
      </c>
      <c r="E335" s="87" t="s">
        <v>530</v>
      </c>
      <c r="F335" s="87" t="s">
        <v>545</v>
      </c>
      <c r="G335" s="88"/>
      <c r="H335" s="88"/>
      <c r="I335" s="88"/>
      <c r="J335" s="42"/>
      <c r="K335" s="35"/>
      <c r="L335" s="35"/>
      <c r="M335" s="36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</row>
    <row r="336" spans="1:29" ht="19.5" customHeight="1" hidden="1">
      <c r="A336" s="131" t="s">
        <v>389</v>
      </c>
      <c r="B336" s="103">
        <v>805</v>
      </c>
      <c r="C336" s="87" t="s">
        <v>508</v>
      </c>
      <c r="D336" s="87" t="s">
        <v>42</v>
      </c>
      <c r="E336" s="87" t="s">
        <v>529</v>
      </c>
      <c r="F336" s="87"/>
      <c r="G336" s="88">
        <f>SUM(G337)</f>
        <v>0</v>
      </c>
      <c r="H336" s="88">
        <f>SUM(H337)</f>
        <v>0</v>
      </c>
      <c r="I336" s="88">
        <f>SUM(I337)</f>
        <v>0</v>
      </c>
      <c r="J336" s="42"/>
      <c r="K336" s="35"/>
      <c r="L336" s="35"/>
      <c r="M336" s="36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</row>
    <row r="337" spans="1:29" ht="18" customHeight="1" hidden="1">
      <c r="A337" s="125" t="s">
        <v>836</v>
      </c>
      <c r="B337" s="103">
        <v>805</v>
      </c>
      <c r="C337" s="87" t="s">
        <v>508</v>
      </c>
      <c r="D337" s="87" t="s">
        <v>42</v>
      </c>
      <c r="E337" s="87" t="s">
        <v>529</v>
      </c>
      <c r="F337" s="87" t="s">
        <v>545</v>
      </c>
      <c r="G337" s="88"/>
      <c r="H337" s="88"/>
      <c r="I337" s="88"/>
      <c r="J337" s="42"/>
      <c r="K337" s="35"/>
      <c r="L337" s="35"/>
      <c r="M337" s="36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</row>
    <row r="338" spans="1:29" ht="20.25" customHeight="1">
      <c r="A338" s="131" t="s">
        <v>231</v>
      </c>
      <c r="B338" s="103">
        <v>805</v>
      </c>
      <c r="C338" s="87" t="s">
        <v>508</v>
      </c>
      <c r="D338" s="87" t="s">
        <v>508</v>
      </c>
      <c r="E338" s="87"/>
      <c r="F338" s="87"/>
      <c r="G338" s="88">
        <f>G339+G341</f>
        <v>6391.3</v>
      </c>
      <c r="H338" s="88">
        <f>H339+H341</f>
        <v>6071.6</v>
      </c>
      <c r="I338" s="88">
        <f>I339+I341</f>
        <v>6071.6</v>
      </c>
      <c r="J338" s="42"/>
      <c r="K338" s="35"/>
      <c r="L338" s="35"/>
      <c r="M338" s="36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</row>
    <row r="339" spans="1:29" ht="18" customHeight="1" hidden="1">
      <c r="A339" s="125" t="s">
        <v>209</v>
      </c>
      <c r="B339" s="103">
        <v>805</v>
      </c>
      <c r="C339" s="87" t="s">
        <v>508</v>
      </c>
      <c r="D339" s="87" t="s">
        <v>508</v>
      </c>
      <c r="E339" s="87" t="s">
        <v>473</v>
      </c>
      <c r="F339" s="87"/>
      <c r="G339" s="88">
        <f>G340</f>
        <v>0</v>
      </c>
      <c r="H339" s="88">
        <f>H340</f>
        <v>0</v>
      </c>
      <c r="I339" s="88">
        <f>I340</f>
        <v>0</v>
      </c>
      <c r="J339" s="42"/>
      <c r="K339" s="35"/>
      <c r="L339" s="35"/>
      <c r="M339" s="36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</row>
    <row r="340" spans="1:29" ht="17.25" customHeight="1" hidden="1">
      <c r="A340" s="131" t="s">
        <v>537</v>
      </c>
      <c r="B340" s="103">
        <v>805</v>
      </c>
      <c r="C340" s="87" t="s">
        <v>508</v>
      </c>
      <c r="D340" s="87" t="s">
        <v>508</v>
      </c>
      <c r="E340" s="87" t="s">
        <v>516</v>
      </c>
      <c r="F340" s="87" t="s">
        <v>536</v>
      </c>
      <c r="G340" s="88"/>
      <c r="H340" s="88"/>
      <c r="I340" s="88"/>
      <c r="J340" s="42"/>
      <c r="K340" s="35"/>
      <c r="L340" s="35"/>
      <c r="M340" s="36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</row>
    <row r="341" spans="1:29" ht="19.5" customHeight="1">
      <c r="A341" s="125" t="s">
        <v>609</v>
      </c>
      <c r="B341" s="103">
        <v>805</v>
      </c>
      <c r="C341" s="87" t="s">
        <v>508</v>
      </c>
      <c r="D341" s="87" t="s">
        <v>508</v>
      </c>
      <c r="E341" s="87" t="s">
        <v>15</v>
      </c>
      <c r="F341" s="87"/>
      <c r="G341" s="88">
        <f aca="true" t="shared" si="36" ref="G341:I343">G342</f>
        <v>6391.3</v>
      </c>
      <c r="H341" s="88">
        <f t="shared" si="36"/>
        <v>6071.6</v>
      </c>
      <c r="I341" s="88">
        <f t="shared" si="36"/>
        <v>6071.6</v>
      </c>
      <c r="J341" s="42"/>
      <c r="K341" s="35"/>
      <c r="L341" s="35"/>
      <c r="M341" s="36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</row>
    <row r="342" spans="1:29" ht="35.25" customHeight="1">
      <c r="A342" s="125" t="s">
        <v>712</v>
      </c>
      <c r="B342" s="103">
        <v>805</v>
      </c>
      <c r="C342" s="87" t="s">
        <v>508</v>
      </c>
      <c r="D342" s="87" t="s">
        <v>508</v>
      </c>
      <c r="E342" s="87" t="s">
        <v>18</v>
      </c>
      <c r="F342" s="87"/>
      <c r="G342" s="88">
        <f t="shared" si="36"/>
        <v>6391.3</v>
      </c>
      <c r="H342" s="88">
        <f t="shared" si="36"/>
        <v>6071.6</v>
      </c>
      <c r="I342" s="88">
        <f t="shared" si="36"/>
        <v>6071.6</v>
      </c>
      <c r="J342" s="42"/>
      <c r="K342" s="35"/>
      <c r="L342" s="35"/>
      <c r="M342" s="36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</row>
    <row r="343" spans="1:29" ht="138" customHeight="1">
      <c r="A343" s="118" t="s">
        <v>710</v>
      </c>
      <c r="B343" s="103">
        <v>805</v>
      </c>
      <c r="C343" s="87" t="s">
        <v>508</v>
      </c>
      <c r="D343" s="87" t="s">
        <v>508</v>
      </c>
      <c r="E343" s="87" t="s">
        <v>20</v>
      </c>
      <c r="F343" s="87"/>
      <c r="G343" s="88">
        <f t="shared" si="36"/>
        <v>6391.3</v>
      </c>
      <c r="H343" s="88">
        <f t="shared" si="36"/>
        <v>6071.6</v>
      </c>
      <c r="I343" s="88">
        <f t="shared" si="36"/>
        <v>6071.6</v>
      </c>
      <c r="J343" s="42"/>
      <c r="K343" s="35"/>
      <c r="L343" s="35"/>
      <c r="M343" s="36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</row>
    <row r="344" spans="1:29" ht="19.5" customHeight="1">
      <c r="A344" s="128" t="s">
        <v>601</v>
      </c>
      <c r="B344" s="103">
        <v>805</v>
      </c>
      <c r="C344" s="87" t="s">
        <v>508</v>
      </c>
      <c r="D344" s="87" t="s">
        <v>508</v>
      </c>
      <c r="E344" s="87" t="s">
        <v>20</v>
      </c>
      <c r="F344" s="87" t="s">
        <v>195</v>
      </c>
      <c r="G344" s="88">
        <v>6391.3</v>
      </c>
      <c r="H344" s="88">
        <v>6071.6</v>
      </c>
      <c r="I344" s="88">
        <v>6071.6</v>
      </c>
      <c r="J344" s="42"/>
      <c r="K344" s="35"/>
      <c r="L344" s="35"/>
      <c r="M344" s="36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</row>
    <row r="345" spans="1:29" ht="18" customHeight="1">
      <c r="A345" s="131" t="s">
        <v>104</v>
      </c>
      <c r="B345" s="103">
        <v>805</v>
      </c>
      <c r="C345" s="87" t="s">
        <v>508</v>
      </c>
      <c r="D345" s="87" t="s">
        <v>40</v>
      </c>
      <c r="E345" s="87"/>
      <c r="F345" s="87"/>
      <c r="G345" s="88">
        <f>SUM(G346,G349,G354,G371,G368)</f>
        <v>75675.1</v>
      </c>
      <c r="H345" s="88">
        <f>SUM(H346,H349,H354,H371,H368)</f>
        <v>72810.2</v>
      </c>
      <c r="I345" s="88">
        <f>SUM(I346,I349,I354,I371,I368)</f>
        <v>78576.4</v>
      </c>
      <c r="J345" s="42"/>
      <c r="K345" s="35"/>
      <c r="L345" s="35"/>
      <c r="M345" s="36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</row>
    <row r="346" spans="1:29" ht="52.5" customHeight="1">
      <c r="A346" s="125" t="s">
        <v>26</v>
      </c>
      <c r="B346" s="103">
        <v>805</v>
      </c>
      <c r="C346" s="87" t="s">
        <v>508</v>
      </c>
      <c r="D346" s="87" t="s">
        <v>40</v>
      </c>
      <c r="E346" s="87" t="s">
        <v>27</v>
      </c>
      <c r="F346" s="87"/>
      <c r="G346" s="88">
        <f aca="true" t="shared" si="37" ref="G346:I347">SUM(G347)</f>
        <v>12645</v>
      </c>
      <c r="H346" s="88">
        <f t="shared" si="37"/>
        <v>12684.300000000001</v>
      </c>
      <c r="I346" s="88">
        <f t="shared" si="37"/>
        <v>12750.400000000001</v>
      </c>
      <c r="J346" s="42"/>
      <c r="K346" s="35"/>
      <c r="L346" s="35"/>
      <c r="M346" s="36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</row>
    <row r="347" spans="1:29" ht="18.75" customHeight="1">
      <c r="A347" s="125" t="s">
        <v>31</v>
      </c>
      <c r="B347" s="103">
        <v>805</v>
      </c>
      <c r="C347" s="87" t="s">
        <v>508</v>
      </c>
      <c r="D347" s="87" t="s">
        <v>133</v>
      </c>
      <c r="E347" s="87" t="s">
        <v>29</v>
      </c>
      <c r="F347" s="87"/>
      <c r="G347" s="88">
        <f t="shared" si="37"/>
        <v>12645</v>
      </c>
      <c r="H347" s="88">
        <f t="shared" si="37"/>
        <v>12684.300000000001</v>
      </c>
      <c r="I347" s="88">
        <f t="shared" si="37"/>
        <v>12750.400000000001</v>
      </c>
      <c r="J347" s="42"/>
      <c r="K347" s="35"/>
      <c r="L347" s="35"/>
      <c r="M347" s="36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</row>
    <row r="348" spans="1:29" ht="18.75" customHeight="1">
      <c r="A348" s="124" t="s">
        <v>690</v>
      </c>
      <c r="B348" s="103">
        <v>805</v>
      </c>
      <c r="C348" s="87" t="s">
        <v>508</v>
      </c>
      <c r="D348" s="87" t="s">
        <v>40</v>
      </c>
      <c r="E348" s="87" t="s">
        <v>29</v>
      </c>
      <c r="F348" s="87" t="s">
        <v>197</v>
      </c>
      <c r="G348" s="88">
        <f>12329.8+315.2</f>
        <v>12645</v>
      </c>
      <c r="H348" s="88">
        <f>12369.1+315.2</f>
        <v>12684.300000000001</v>
      </c>
      <c r="I348" s="88">
        <f>12435.2+315.2</f>
        <v>12750.400000000001</v>
      </c>
      <c r="J348" s="42"/>
      <c r="K348" s="35"/>
      <c r="L348" s="35"/>
      <c r="M348" s="36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</row>
    <row r="349" spans="1:29" ht="56.25" customHeight="1">
      <c r="A349" s="125" t="s">
        <v>652</v>
      </c>
      <c r="B349" s="103">
        <v>805</v>
      </c>
      <c r="C349" s="87" t="s">
        <v>508</v>
      </c>
      <c r="D349" s="87" t="s">
        <v>40</v>
      </c>
      <c r="E349" s="87" t="s">
        <v>532</v>
      </c>
      <c r="F349" s="87"/>
      <c r="G349" s="88">
        <f>SUM(G350,G352)</f>
        <v>47975.9</v>
      </c>
      <c r="H349" s="88">
        <f>SUM(H350,H352)</f>
        <v>48192.3</v>
      </c>
      <c r="I349" s="88">
        <f>SUM(I350,I352)</f>
        <v>48577</v>
      </c>
      <c r="J349" s="42"/>
      <c r="K349" s="35"/>
      <c r="L349" s="35"/>
      <c r="M349" s="36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</row>
    <row r="350" spans="1:29" ht="18.75" customHeight="1">
      <c r="A350" s="131" t="s">
        <v>564</v>
      </c>
      <c r="B350" s="103">
        <v>805</v>
      </c>
      <c r="C350" s="87" t="s">
        <v>508</v>
      </c>
      <c r="D350" s="87" t="s">
        <v>40</v>
      </c>
      <c r="E350" s="87" t="s">
        <v>479</v>
      </c>
      <c r="F350" s="87"/>
      <c r="G350" s="88">
        <f>SUM(G351)</f>
        <v>469.3</v>
      </c>
      <c r="H350" s="88">
        <f>SUM(H351)</f>
        <v>469.3</v>
      </c>
      <c r="I350" s="88">
        <f>SUM(I351)</f>
        <v>469.3</v>
      </c>
      <c r="J350" s="42"/>
      <c r="K350" s="35"/>
      <c r="L350" s="35"/>
      <c r="M350" s="36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</row>
    <row r="351" spans="1:29" ht="16.5">
      <c r="A351" s="125" t="s">
        <v>140</v>
      </c>
      <c r="B351" s="103">
        <v>805</v>
      </c>
      <c r="C351" s="87" t="s">
        <v>508</v>
      </c>
      <c r="D351" s="87" t="s">
        <v>40</v>
      </c>
      <c r="E351" s="87" t="s">
        <v>479</v>
      </c>
      <c r="F351" s="87" t="s">
        <v>545</v>
      </c>
      <c r="G351" s="88">
        <v>469.3</v>
      </c>
      <c r="H351" s="88">
        <v>469.3</v>
      </c>
      <c r="I351" s="88">
        <v>469.3</v>
      </c>
      <c r="J351" s="42"/>
      <c r="K351" s="35"/>
      <c r="L351" s="35"/>
      <c r="M351" s="36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</row>
    <row r="352" spans="1:29" ht="19.5" customHeight="1">
      <c r="A352" s="131" t="s">
        <v>389</v>
      </c>
      <c r="B352" s="103">
        <v>805</v>
      </c>
      <c r="C352" s="87" t="s">
        <v>508</v>
      </c>
      <c r="D352" s="87" t="s">
        <v>40</v>
      </c>
      <c r="E352" s="87" t="s">
        <v>533</v>
      </c>
      <c r="F352" s="87"/>
      <c r="G352" s="88">
        <f>SUM(G353)</f>
        <v>47506.6</v>
      </c>
      <c r="H352" s="88">
        <f>SUM(H353)</f>
        <v>47723</v>
      </c>
      <c r="I352" s="88">
        <f>SUM(I353)</f>
        <v>48107.7</v>
      </c>
      <c r="J352" s="42"/>
      <c r="K352" s="35"/>
      <c r="L352" s="35"/>
      <c r="M352" s="36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</row>
    <row r="353" spans="1:29" ht="19.5" customHeight="1">
      <c r="A353" s="125" t="s">
        <v>140</v>
      </c>
      <c r="B353" s="103">
        <v>805</v>
      </c>
      <c r="C353" s="87" t="s">
        <v>508</v>
      </c>
      <c r="D353" s="87" t="s">
        <v>40</v>
      </c>
      <c r="E353" s="87" t="s">
        <v>533</v>
      </c>
      <c r="F353" s="87" t="s">
        <v>545</v>
      </c>
      <c r="G353" s="88">
        <v>47506.6</v>
      </c>
      <c r="H353" s="88">
        <v>47723</v>
      </c>
      <c r="I353" s="88">
        <v>48107.7</v>
      </c>
      <c r="J353" s="42"/>
      <c r="K353" s="35"/>
      <c r="L353" s="35"/>
      <c r="M353" s="36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</row>
    <row r="354" spans="1:29" ht="19.5" customHeight="1">
      <c r="A354" s="124" t="s">
        <v>380</v>
      </c>
      <c r="B354" s="103">
        <v>805</v>
      </c>
      <c r="C354" s="87" t="s">
        <v>508</v>
      </c>
      <c r="D354" s="87" t="s">
        <v>40</v>
      </c>
      <c r="E354" s="87" t="s">
        <v>381</v>
      </c>
      <c r="F354" s="87"/>
      <c r="G354" s="88">
        <f>G355+G362+G360+G366+G364</f>
        <v>4549.8</v>
      </c>
      <c r="H354" s="88">
        <f>H355+H362+H360+H366+H364</f>
        <v>2727.4</v>
      </c>
      <c r="I354" s="88">
        <f>I355+I362+I360+I366+I364</f>
        <v>6238.299999999999</v>
      </c>
      <c r="J354" s="42"/>
      <c r="K354" s="35"/>
      <c r="L354" s="35"/>
      <c r="M354" s="36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</row>
    <row r="355" spans="1:29" ht="34.5" customHeight="1" hidden="1">
      <c r="A355" s="132" t="s">
        <v>264</v>
      </c>
      <c r="B355" s="103">
        <v>805</v>
      </c>
      <c r="C355" s="87" t="s">
        <v>508</v>
      </c>
      <c r="D355" s="87" t="s">
        <v>40</v>
      </c>
      <c r="E355" s="87" t="s">
        <v>262</v>
      </c>
      <c r="F355" s="87"/>
      <c r="G355" s="88">
        <f>SUM(G356,G358)</f>
        <v>0</v>
      </c>
      <c r="H355" s="88">
        <f>SUM(H356,H358)</f>
        <v>0</v>
      </c>
      <c r="I355" s="88">
        <f>SUM(I356,I358)</f>
        <v>0</v>
      </c>
      <c r="J355" s="42"/>
      <c r="K355" s="35"/>
      <c r="L355" s="35"/>
      <c r="M355" s="36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</row>
    <row r="356" spans="1:29" ht="39" customHeight="1" hidden="1">
      <c r="A356" s="132" t="s">
        <v>265</v>
      </c>
      <c r="B356" s="103">
        <v>805</v>
      </c>
      <c r="C356" s="87" t="s">
        <v>508</v>
      </c>
      <c r="D356" s="87" t="s">
        <v>40</v>
      </c>
      <c r="E356" s="87" t="s">
        <v>278</v>
      </c>
      <c r="F356" s="87"/>
      <c r="G356" s="88">
        <f>SUM(G357)</f>
        <v>0</v>
      </c>
      <c r="H356" s="88">
        <f>SUM(H357)</f>
        <v>0</v>
      </c>
      <c r="I356" s="88">
        <f>SUM(I357)</f>
        <v>0</v>
      </c>
      <c r="J356" s="42"/>
      <c r="K356" s="35"/>
      <c r="L356" s="35"/>
      <c r="M356" s="36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</row>
    <row r="357" spans="1:29" ht="18" customHeight="1" hidden="1">
      <c r="A357" s="124" t="s">
        <v>502</v>
      </c>
      <c r="B357" s="103">
        <v>805</v>
      </c>
      <c r="C357" s="87" t="s">
        <v>508</v>
      </c>
      <c r="D357" s="87" t="s">
        <v>40</v>
      </c>
      <c r="E357" s="87" t="s">
        <v>278</v>
      </c>
      <c r="F357" s="87" t="s">
        <v>102</v>
      </c>
      <c r="G357" s="88"/>
      <c r="H357" s="88"/>
      <c r="I357" s="88"/>
      <c r="J357" s="42"/>
      <c r="K357" s="35"/>
      <c r="L357" s="35"/>
      <c r="M357" s="36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</row>
    <row r="358" spans="1:29" ht="35.25" customHeight="1" hidden="1">
      <c r="A358" s="132" t="s">
        <v>498</v>
      </c>
      <c r="B358" s="103">
        <v>805</v>
      </c>
      <c r="C358" s="87" t="s">
        <v>508</v>
      </c>
      <c r="D358" s="87" t="s">
        <v>40</v>
      </c>
      <c r="E358" s="87" t="s">
        <v>279</v>
      </c>
      <c r="F358" s="87"/>
      <c r="G358" s="88">
        <f>SUM(G359)</f>
        <v>0</v>
      </c>
      <c r="H358" s="88">
        <f>SUM(H359)</f>
        <v>0</v>
      </c>
      <c r="I358" s="88">
        <f>SUM(I359)</f>
        <v>0</v>
      </c>
      <c r="J358" s="42"/>
      <c r="K358" s="35"/>
      <c r="L358" s="35"/>
      <c r="M358" s="36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</row>
    <row r="359" spans="1:29" ht="18.75" customHeight="1" hidden="1">
      <c r="A359" s="124" t="s">
        <v>501</v>
      </c>
      <c r="B359" s="103">
        <v>805</v>
      </c>
      <c r="C359" s="87" t="s">
        <v>508</v>
      </c>
      <c r="D359" s="87" t="s">
        <v>40</v>
      </c>
      <c r="E359" s="87" t="s">
        <v>279</v>
      </c>
      <c r="F359" s="87" t="s">
        <v>102</v>
      </c>
      <c r="G359" s="88"/>
      <c r="H359" s="88"/>
      <c r="I359" s="88"/>
      <c r="J359" s="42"/>
      <c r="K359" s="35"/>
      <c r="L359" s="35"/>
      <c r="M359" s="36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</row>
    <row r="360" spans="1:29" ht="18.75" customHeight="1" hidden="1">
      <c r="A360" s="132" t="s">
        <v>770</v>
      </c>
      <c r="B360" s="103">
        <v>805</v>
      </c>
      <c r="C360" s="87" t="s">
        <v>508</v>
      </c>
      <c r="D360" s="87" t="s">
        <v>40</v>
      </c>
      <c r="E360" s="87" t="s">
        <v>281</v>
      </c>
      <c r="F360" s="87"/>
      <c r="G360" s="88">
        <f>SUM(G361)</f>
        <v>0</v>
      </c>
      <c r="H360" s="88">
        <f>SUM(H361)</f>
        <v>0</v>
      </c>
      <c r="I360" s="88">
        <f>SUM(I361)</f>
        <v>0</v>
      </c>
      <c r="J360" s="42"/>
      <c r="K360" s="35"/>
      <c r="L360" s="35"/>
      <c r="M360" s="36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</row>
    <row r="361" spans="1:29" ht="18.75" customHeight="1" hidden="1">
      <c r="A361" s="124" t="s">
        <v>501</v>
      </c>
      <c r="B361" s="103">
        <v>805</v>
      </c>
      <c r="C361" s="87" t="s">
        <v>508</v>
      </c>
      <c r="D361" s="87" t="s">
        <v>40</v>
      </c>
      <c r="E361" s="87" t="s">
        <v>281</v>
      </c>
      <c r="F361" s="87" t="s">
        <v>102</v>
      </c>
      <c r="G361" s="88"/>
      <c r="H361" s="88"/>
      <c r="I361" s="88"/>
      <c r="J361" s="42"/>
      <c r="K361" s="35"/>
      <c r="L361" s="35"/>
      <c r="M361" s="36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</row>
    <row r="362" spans="1:29" ht="33.75" customHeight="1" hidden="1">
      <c r="A362" s="132" t="s">
        <v>324</v>
      </c>
      <c r="B362" s="103">
        <v>805</v>
      </c>
      <c r="C362" s="87" t="s">
        <v>508</v>
      </c>
      <c r="D362" s="87" t="s">
        <v>40</v>
      </c>
      <c r="E362" s="87" t="s">
        <v>280</v>
      </c>
      <c r="F362" s="87"/>
      <c r="G362" s="88">
        <f>SUM(G363)</f>
        <v>0</v>
      </c>
      <c r="H362" s="88">
        <f>SUM(H363)</f>
        <v>0</v>
      </c>
      <c r="I362" s="88">
        <f>SUM(I363)</f>
        <v>0</v>
      </c>
      <c r="J362" s="42"/>
      <c r="K362" s="35"/>
      <c r="L362" s="35"/>
      <c r="M362" s="36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</row>
    <row r="363" spans="1:29" ht="16.5" hidden="1">
      <c r="A363" s="124" t="s">
        <v>501</v>
      </c>
      <c r="B363" s="103">
        <v>805</v>
      </c>
      <c r="C363" s="87" t="s">
        <v>508</v>
      </c>
      <c r="D363" s="87" t="s">
        <v>40</v>
      </c>
      <c r="E363" s="87" t="s">
        <v>280</v>
      </c>
      <c r="F363" s="87" t="s">
        <v>102</v>
      </c>
      <c r="G363" s="88"/>
      <c r="H363" s="88"/>
      <c r="I363" s="88"/>
      <c r="J363" s="42"/>
      <c r="K363" s="35"/>
      <c r="L363" s="35"/>
      <c r="M363" s="36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</row>
    <row r="364" spans="1:29" ht="36.75" customHeight="1">
      <c r="A364" s="124" t="s">
        <v>813</v>
      </c>
      <c r="B364" s="103">
        <v>805</v>
      </c>
      <c r="C364" s="87" t="s">
        <v>508</v>
      </c>
      <c r="D364" s="87" t="s">
        <v>40</v>
      </c>
      <c r="E364" s="87" t="s">
        <v>457</v>
      </c>
      <c r="F364" s="104"/>
      <c r="G364" s="88">
        <f>SUM(G365)</f>
        <v>2573</v>
      </c>
      <c r="H364" s="88">
        <f>SUM(H365)</f>
        <v>2727.4</v>
      </c>
      <c r="I364" s="88">
        <f>SUM(I365)</f>
        <v>2874.7</v>
      </c>
      <c r="J364" s="42"/>
      <c r="K364" s="35"/>
      <c r="L364" s="35"/>
      <c r="M364" s="36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</row>
    <row r="365" spans="1:29" ht="21.75" customHeight="1">
      <c r="A365" s="124" t="s">
        <v>501</v>
      </c>
      <c r="B365" s="103">
        <v>805</v>
      </c>
      <c r="C365" s="87" t="s">
        <v>508</v>
      </c>
      <c r="D365" s="87" t="s">
        <v>40</v>
      </c>
      <c r="E365" s="87" t="s">
        <v>457</v>
      </c>
      <c r="F365" s="104" t="s">
        <v>102</v>
      </c>
      <c r="G365" s="88">
        <v>2573</v>
      </c>
      <c r="H365" s="88">
        <v>2727.4</v>
      </c>
      <c r="I365" s="88">
        <v>2874.7</v>
      </c>
      <c r="J365" s="42"/>
      <c r="K365" s="35"/>
      <c r="L365" s="35"/>
      <c r="M365" s="36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</row>
    <row r="366" spans="1:29" ht="39.75" customHeight="1">
      <c r="A366" s="124" t="s">
        <v>149</v>
      </c>
      <c r="B366" s="103">
        <v>805</v>
      </c>
      <c r="C366" s="87" t="s">
        <v>508</v>
      </c>
      <c r="D366" s="87" t="s">
        <v>40</v>
      </c>
      <c r="E366" s="87" t="s">
        <v>433</v>
      </c>
      <c r="F366" s="87"/>
      <c r="G366" s="88">
        <f>G367</f>
        <v>1976.8</v>
      </c>
      <c r="H366" s="88">
        <f>H367</f>
        <v>0</v>
      </c>
      <c r="I366" s="88">
        <f>I367</f>
        <v>3363.6</v>
      </c>
      <c r="J366" s="42"/>
      <c r="K366" s="35"/>
      <c r="L366" s="35"/>
      <c r="M366" s="36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</row>
    <row r="367" spans="1:29" ht="16.5">
      <c r="A367" s="124" t="s">
        <v>501</v>
      </c>
      <c r="B367" s="103">
        <v>805</v>
      </c>
      <c r="C367" s="87" t="s">
        <v>508</v>
      </c>
      <c r="D367" s="87" t="s">
        <v>40</v>
      </c>
      <c r="E367" s="87" t="s">
        <v>433</v>
      </c>
      <c r="F367" s="87" t="s">
        <v>102</v>
      </c>
      <c r="G367" s="88">
        <v>1976.8</v>
      </c>
      <c r="H367" s="88"/>
      <c r="I367" s="88">
        <v>3363.6</v>
      </c>
      <c r="J367" s="42"/>
      <c r="K367" s="35"/>
      <c r="L367" s="35"/>
      <c r="M367" s="36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</row>
    <row r="368" spans="1:29" ht="16.5">
      <c r="A368" s="125" t="s">
        <v>609</v>
      </c>
      <c r="B368" s="103">
        <v>805</v>
      </c>
      <c r="C368" s="87" t="s">
        <v>508</v>
      </c>
      <c r="D368" s="87" t="s">
        <v>40</v>
      </c>
      <c r="E368" s="87" t="s">
        <v>15</v>
      </c>
      <c r="F368" s="87"/>
      <c r="G368" s="88">
        <f aca="true" t="shared" si="38" ref="G368:I369">G369</f>
        <v>5034.9</v>
      </c>
      <c r="H368" s="88">
        <f t="shared" si="38"/>
        <v>4798.7</v>
      </c>
      <c r="I368" s="88">
        <f t="shared" si="38"/>
        <v>4798.7</v>
      </c>
      <c r="J368" s="42"/>
      <c r="K368" s="35"/>
      <c r="L368" s="35"/>
      <c r="M368" s="36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</row>
    <row r="369" spans="1:29" ht="37.5" customHeight="1">
      <c r="A369" s="124" t="s">
        <v>713</v>
      </c>
      <c r="B369" s="103">
        <v>805</v>
      </c>
      <c r="C369" s="87" t="s">
        <v>508</v>
      </c>
      <c r="D369" s="87" t="s">
        <v>40</v>
      </c>
      <c r="E369" s="87" t="s">
        <v>171</v>
      </c>
      <c r="F369" s="87"/>
      <c r="G369" s="88">
        <f t="shared" si="38"/>
        <v>5034.9</v>
      </c>
      <c r="H369" s="88">
        <f t="shared" si="38"/>
        <v>4798.7</v>
      </c>
      <c r="I369" s="88">
        <f t="shared" si="38"/>
        <v>4798.7</v>
      </c>
      <c r="J369" s="42"/>
      <c r="K369" s="35"/>
      <c r="L369" s="35"/>
      <c r="M369" s="36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</row>
    <row r="370" spans="1:29" ht="16.5">
      <c r="A370" s="128" t="s">
        <v>601</v>
      </c>
      <c r="B370" s="103">
        <v>805</v>
      </c>
      <c r="C370" s="87" t="s">
        <v>508</v>
      </c>
      <c r="D370" s="87" t="s">
        <v>40</v>
      </c>
      <c r="E370" s="87" t="s">
        <v>171</v>
      </c>
      <c r="F370" s="87" t="s">
        <v>195</v>
      </c>
      <c r="G370" s="88">
        <v>5034.9</v>
      </c>
      <c r="H370" s="88">
        <v>4798.7</v>
      </c>
      <c r="I370" s="88">
        <v>4798.7</v>
      </c>
      <c r="J370" s="42"/>
      <c r="K370" s="35"/>
      <c r="L370" s="35"/>
      <c r="M370" s="36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</row>
    <row r="371" spans="1:29" ht="19.5" customHeight="1">
      <c r="A371" s="140" t="s">
        <v>349</v>
      </c>
      <c r="B371" s="103">
        <v>805</v>
      </c>
      <c r="C371" s="87" t="s">
        <v>508</v>
      </c>
      <c r="D371" s="87" t="s">
        <v>40</v>
      </c>
      <c r="E371" s="87" t="s">
        <v>343</v>
      </c>
      <c r="F371" s="87"/>
      <c r="G371" s="88">
        <f>G372+G379</f>
        <v>5469.5</v>
      </c>
      <c r="H371" s="88">
        <f>H372+H379</f>
        <v>4407.5</v>
      </c>
      <c r="I371" s="88">
        <f>I372+I379</f>
        <v>6212</v>
      </c>
      <c r="J371" s="42"/>
      <c r="K371" s="35"/>
      <c r="L371" s="35"/>
      <c r="M371" s="36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</row>
    <row r="372" spans="1:29" ht="19.5" customHeight="1">
      <c r="A372" s="140" t="s">
        <v>380</v>
      </c>
      <c r="B372" s="103">
        <v>805</v>
      </c>
      <c r="C372" s="87" t="s">
        <v>508</v>
      </c>
      <c r="D372" s="87" t="s">
        <v>40</v>
      </c>
      <c r="E372" s="87" t="s">
        <v>344</v>
      </c>
      <c r="F372" s="87"/>
      <c r="G372" s="88">
        <f>G373+G375+G377</f>
        <v>3734.1</v>
      </c>
      <c r="H372" s="88">
        <f>H373+H375+H377</f>
        <v>2672.1</v>
      </c>
      <c r="I372" s="88">
        <f>I373+I375+I377</f>
        <v>4476.6</v>
      </c>
      <c r="J372" s="42"/>
      <c r="K372" s="35"/>
      <c r="L372" s="35"/>
      <c r="M372" s="36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</row>
    <row r="373" spans="1:29" ht="18" customHeight="1">
      <c r="A373" s="131" t="s">
        <v>199</v>
      </c>
      <c r="B373" s="103">
        <v>805</v>
      </c>
      <c r="C373" s="87" t="s">
        <v>508</v>
      </c>
      <c r="D373" s="87" t="s">
        <v>40</v>
      </c>
      <c r="E373" s="87" t="s">
        <v>354</v>
      </c>
      <c r="F373" s="87"/>
      <c r="G373" s="88">
        <f>SUM(G374)</f>
        <v>1796</v>
      </c>
      <c r="H373" s="88">
        <f>SUM(H374)</f>
        <v>1675.1</v>
      </c>
      <c r="I373" s="88">
        <f>SUM(I374)</f>
        <v>1340.1</v>
      </c>
      <c r="J373" s="42"/>
      <c r="K373" s="35"/>
      <c r="L373" s="35"/>
      <c r="M373" s="36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</row>
    <row r="374" spans="1:29" ht="18.75" customHeight="1">
      <c r="A374" s="124" t="s">
        <v>501</v>
      </c>
      <c r="B374" s="103">
        <v>805</v>
      </c>
      <c r="C374" s="87" t="s">
        <v>508</v>
      </c>
      <c r="D374" s="87" t="s">
        <v>40</v>
      </c>
      <c r="E374" s="87" t="s">
        <v>354</v>
      </c>
      <c r="F374" s="87" t="s">
        <v>102</v>
      </c>
      <c r="G374" s="88">
        <v>1796</v>
      </c>
      <c r="H374" s="88">
        <v>1675.1</v>
      </c>
      <c r="I374" s="88">
        <v>1340.1</v>
      </c>
      <c r="J374" s="42"/>
      <c r="K374" s="35"/>
      <c r="L374" s="35"/>
      <c r="M374" s="36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</row>
    <row r="375" spans="1:29" ht="19.5" customHeight="1">
      <c r="A375" s="131" t="s">
        <v>776</v>
      </c>
      <c r="B375" s="103">
        <v>805</v>
      </c>
      <c r="C375" s="87" t="s">
        <v>508</v>
      </c>
      <c r="D375" s="87" t="s">
        <v>40</v>
      </c>
      <c r="E375" s="87" t="s">
        <v>350</v>
      </c>
      <c r="F375" s="87"/>
      <c r="G375" s="88">
        <f>SUM(G376)</f>
        <v>1058.1</v>
      </c>
      <c r="H375" s="88">
        <f>SUM(H376)</f>
        <v>997</v>
      </c>
      <c r="I375" s="88">
        <f>SUM(I376)</f>
        <v>3136.5</v>
      </c>
      <c r="J375" s="42"/>
      <c r="K375" s="35"/>
      <c r="L375" s="35"/>
      <c r="M375" s="36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</row>
    <row r="376" spans="1:29" ht="18.75" customHeight="1">
      <c r="A376" s="124" t="s">
        <v>501</v>
      </c>
      <c r="B376" s="103">
        <v>805</v>
      </c>
      <c r="C376" s="87" t="s">
        <v>508</v>
      </c>
      <c r="D376" s="87" t="s">
        <v>40</v>
      </c>
      <c r="E376" s="87" t="s">
        <v>350</v>
      </c>
      <c r="F376" s="87" t="s">
        <v>102</v>
      </c>
      <c r="G376" s="88">
        <v>1058.1</v>
      </c>
      <c r="H376" s="88">
        <v>997</v>
      </c>
      <c r="I376" s="88">
        <v>3136.5</v>
      </c>
      <c r="J376" s="42"/>
      <c r="K376" s="35"/>
      <c r="L376" s="35"/>
      <c r="M376" s="36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</row>
    <row r="377" spans="1:29" ht="19.5" customHeight="1" hidden="1">
      <c r="A377" s="131" t="s">
        <v>778</v>
      </c>
      <c r="B377" s="103">
        <v>805</v>
      </c>
      <c r="C377" s="87" t="s">
        <v>508</v>
      </c>
      <c r="D377" s="87" t="s">
        <v>40</v>
      </c>
      <c r="E377" s="87" t="s">
        <v>348</v>
      </c>
      <c r="F377" s="87"/>
      <c r="G377" s="88">
        <f>G378</f>
        <v>880</v>
      </c>
      <c r="H377" s="88">
        <f>H378</f>
        <v>0</v>
      </c>
      <c r="I377" s="88">
        <f>I378</f>
        <v>0</v>
      </c>
      <c r="J377" s="42"/>
      <c r="K377" s="35"/>
      <c r="L377" s="35"/>
      <c r="M377" s="36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</row>
    <row r="378" spans="1:29" ht="16.5" hidden="1">
      <c r="A378" s="124" t="s">
        <v>501</v>
      </c>
      <c r="B378" s="103">
        <v>805</v>
      </c>
      <c r="C378" s="87" t="s">
        <v>508</v>
      </c>
      <c r="D378" s="87" t="s">
        <v>40</v>
      </c>
      <c r="E378" s="87" t="s">
        <v>348</v>
      </c>
      <c r="F378" s="87" t="s">
        <v>102</v>
      </c>
      <c r="G378" s="88">
        <v>880</v>
      </c>
      <c r="H378" s="88"/>
      <c r="I378" s="88"/>
      <c r="J378" s="42"/>
      <c r="K378" s="35"/>
      <c r="L378" s="35"/>
      <c r="M378" s="36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</row>
    <row r="379" spans="1:29" ht="16.5">
      <c r="A379" s="124" t="s">
        <v>714</v>
      </c>
      <c r="B379" s="103">
        <v>805</v>
      </c>
      <c r="C379" s="87" t="s">
        <v>508</v>
      </c>
      <c r="D379" s="87" t="s">
        <v>40</v>
      </c>
      <c r="E379" s="87" t="s">
        <v>534</v>
      </c>
      <c r="F379" s="87"/>
      <c r="G379" s="88">
        <f aca="true" t="shared" si="39" ref="G379:I380">G380</f>
        <v>1735.4</v>
      </c>
      <c r="H379" s="88">
        <f t="shared" si="39"/>
        <v>1735.4</v>
      </c>
      <c r="I379" s="88">
        <f t="shared" si="39"/>
        <v>1735.4</v>
      </c>
      <c r="J379" s="42"/>
      <c r="K379" s="35"/>
      <c r="L379" s="35"/>
      <c r="M379" s="36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</row>
    <row r="380" spans="1:29" ht="16.5">
      <c r="A380" s="131" t="s">
        <v>653</v>
      </c>
      <c r="B380" s="103">
        <v>805</v>
      </c>
      <c r="C380" s="87" t="s">
        <v>508</v>
      </c>
      <c r="D380" s="87" t="s">
        <v>40</v>
      </c>
      <c r="E380" s="87" t="s">
        <v>355</v>
      </c>
      <c r="F380" s="87"/>
      <c r="G380" s="88">
        <f t="shared" si="39"/>
        <v>1735.4</v>
      </c>
      <c r="H380" s="88">
        <f t="shared" si="39"/>
        <v>1735.4</v>
      </c>
      <c r="I380" s="88">
        <f t="shared" si="39"/>
        <v>1735.4</v>
      </c>
      <c r="J380" s="42"/>
      <c r="K380" s="35"/>
      <c r="L380" s="35"/>
      <c r="M380" s="36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</row>
    <row r="381" spans="1:29" ht="16.5">
      <c r="A381" s="124" t="s">
        <v>501</v>
      </c>
      <c r="B381" s="103">
        <v>805</v>
      </c>
      <c r="C381" s="87" t="s">
        <v>508</v>
      </c>
      <c r="D381" s="87" t="s">
        <v>40</v>
      </c>
      <c r="E381" s="87" t="s">
        <v>355</v>
      </c>
      <c r="F381" s="87" t="s">
        <v>102</v>
      </c>
      <c r="G381" s="88">
        <v>1735.4</v>
      </c>
      <c r="H381" s="88">
        <v>1735.4</v>
      </c>
      <c r="I381" s="88">
        <v>1735.4</v>
      </c>
      <c r="J381" s="42"/>
      <c r="K381" s="35"/>
      <c r="L381" s="35"/>
      <c r="M381" s="36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</row>
    <row r="382" spans="1:29" ht="19.5" customHeight="1" hidden="1">
      <c r="A382" s="131" t="s">
        <v>214</v>
      </c>
      <c r="B382" s="103">
        <v>805</v>
      </c>
      <c r="C382" s="87" t="s">
        <v>43</v>
      </c>
      <c r="D382" s="87"/>
      <c r="E382" s="87"/>
      <c r="F382" s="87"/>
      <c r="G382" s="88">
        <f>G383</f>
        <v>0</v>
      </c>
      <c r="H382" s="88">
        <f aca="true" t="shared" si="40" ref="H382:I385">H383</f>
        <v>0</v>
      </c>
      <c r="I382" s="88">
        <f t="shared" si="40"/>
        <v>0</v>
      </c>
      <c r="J382" s="42"/>
      <c r="K382" s="35"/>
      <c r="L382" s="35"/>
      <c r="M382" s="36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</row>
    <row r="383" spans="1:29" ht="19.5" customHeight="1" hidden="1">
      <c r="A383" s="131" t="s">
        <v>232</v>
      </c>
      <c r="B383" s="103">
        <v>805</v>
      </c>
      <c r="C383" s="87" t="s">
        <v>43</v>
      </c>
      <c r="D383" s="87" t="s">
        <v>790</v>
      </c>
      <c r="E383" s="87"/>
      <c r="F383" s="87"/>
      <c r="G383" s="88">
        <f>G384</f>
        <v>0</v>
      </c>
      <c r="H383" s="88">
        <f t="shared" si="40"/>
        <v>0</v>
      </c>
      <c r="I383" s="88">
        <f t="shared" si="40"/>
        <v>0</v>
      </c>
      <c r="J383" s="42"/>
      <c r="K383" s="35"/>
      <c r="L383" s="35"/>
      <c r="M383" s="36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</row>
    <row r="384" spans="1:29" ht="19.5" customHeight="1" hidden="1">
      <c r="A384" s="125" t="s">
        <v>772</v>
      </c>
      <c r="B384" s="103">
        <v>805</v>
      </c>
      <c r="C384" s="87" t="s">
        <v>43</v>
      </c>
      <c r="D384" s="87" t="s">
        <v>790</v>
      </c>
      <c r="E384" s="87" t="s">
        <v>162</v>
      </c>
      <c r="F384" s="87"/>
      <c r="G384" s="88">
        <f>G385</f>
        <v>0</v>
      </c>
      <c r="H384" s="88">
        <f t="shared" si="40"/>
        <v>0</v>
      </c>
      <c r="I384" s="88">
        <f t="shared" si="40"/>
        <v>0</v>
      </c>
      <c r="J384" s="42"/>
      <c r="K384" s="35"/>
      <c r="L384" s="35"/>
      <c r="M384" s="36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</row>
    <row r="385" spans="1:29" ht="19.5" customHeight="1" hidden="1">
      <c r="A385" s="132" t="s">
        <v>163</v>
      </c>
      <c r="B385" s="103">
        <v>805</v>
      </c>
      <c r="C385" s="87" t="s">
        <v>43</v>
      </c>
      <c r="D385" s="87" t="s">
        <v>790</v>
      </c>
      <c r="E385" s="87" t="s">
        <v>164</v>
      </c>
      <c r="F385" s="87"/>
      <c r="G385" s="88">
        <f>G386</f>
        <v>0</v>
      </c>
      <c r="H385" s="88">
        <f t="shared" si="40"/>
        <v>0</v>
      </c>
      <c r="I385" s="88">
        <f t="shared" si="40"/>
        <v>0</v>
      </c>
      <c r="J385" s="42"/>
      <c r="K385" s="35"/>
      <c r="L385" s="35"/>
      <c r="M385" s="36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</row>
    <row r="386" spans="1:29" ht="19.5" customHeight="1" hidden="1">
      <c r="A386" s="132" t="s">
        <v>535</v>
      </c>
      <c r="B386" s="103">
        <v>805</v>
      </c>
      <c r="C386" s="87" t="s">
        <v>43</v>
      </c>
      <c r="D386" s="87" t="s">
        <v>790</v>
      </c>
      <c r="E386" s="87" t="s">
        <v>164</v>
      </c>
      <c r="F386" s="87" t="s">
        <v>284</v>
      </c>
      <c r="G386" s="88"/>
      <c r="H386" s="88"/>
      <c r="I386" s="88"/>
      <c r="J386" s="42"/>
      <c r="K386" s="35"/>
      <c r="L386" s="35"/>
      <c r="M386" s="36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</row>
    <row r="387" spans="1:29" ht="16.5">
      <c r="A387" s="140" t="s">
        <v>413</v>
      </c>
      <c r="B387" s="103">
        <v>805</v>
      </c>
      <c r="C387" s="87" t="s">
        <v>471</v>
      </c>
      <c r="D387" s="87"/>
      <c r="E387" s="87"/>
      <c r="F387" s="87"/>
      <c r="G387" s="88">
        <f>G388+G395+G401</f>
        <v>85118.79999999999</v>
      </c>
      <c r="H387" s="88">
        <f>H388+H395+H401</f>
        <v>80691.8</v>
      </c>
      <c r="I387" s="88">
        <f>I388+I395+I401</f>
        <v>80691.8</v>
      </c>
      <c r="J387" s="42"/>
      <c r="K387" s="35"/>
      <c r="L387" s="35"/>
      <c r="M387" s="36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</row>
    <row r="388" spans="1:29" ht="16.5">
      <c r="A388" s="124" t="s">
        <v>373</v>
      </c>
      <c r="B388" s="103">
        <v>805</v>
      </c>
      <c r="C388" s="87" t="s">
        <v>471</v>
      </c>
      <c r="D388" s="87" t="s">
        <v>792</v>
      </c>
      <c r="E388" s="87"/>
      <c r="F388" s="87"/>
      <c r="G388" s="88">
        <f>SUM(G389)</f>
        <v>5236.9</v>
      </c>
      <c r="H388" s="88">
        <f>SUM(H389)</f>
        <v>4975</v>
      </c>
      <c r="I388" s="88">
        <f>SUM(I389)</f>
        <v>4975</v>
      </c>
      <c r="J388" s="42"/>
      <c r="K388" s="35"/>
      <c r="L388" s="35"/>
      <c r="M388" s="36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</row>
    <row r="389" spans="1:29" ht="18" customHeight="1">
      <c r="A389" s="125" t="s">
        <v>609</v>
      </c>
      <c r="B389" s="103">
        <v>805</v>
      </c>
      <c r="C389" s="87" t="s">
        <v>471</v>
      </c>
      <c r="D389" s="87" t="s">
        <v>792</v>
      </c>
      <c r="E389" s="87" t="s">
        <v>15</v>
      </c>
      <c r="F389" s="87"/>
      <c r="G389" s="88">
        <f>G390+G393</f>
        <v>5236.9</v>
      </c>
      <c r="H389" s="88">
        <f>H390+H393</f>
        <v>4975</v>
      </c>
      <c r="I389" s="88">
        <f>I390+I393</f>
        <v>4975</v>
      </c>
      <c r="J389" s="42"/>
      <c r="K389" s="35"/>
      <c r="L389" s="35"/>
      <c r="M389" s="36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</row>
    <row r="390" spans="1:29" ht="23.25" customHeight="1">
      <c r="A390" s="125" t="s">
        <v>640</v>
      </c>
      <c r="B390" s="103">
        <v>805</v>
      </c>
      <c r="C390" s="87" t="s">
        <v>471</v>
      </c>
      <c r="D390" s="87" t="s">
        <v>792</v>
      </c>
      <c r="E390" s="87" t="s">
        <v>18</v>
      </c>
      <c r="F390" s="87"/>
      <c r="G390" s="88">
        <f aca="true" t="shared" si="41" ref="G390:I391">SUM(G391)</f>
        <v>1743.7</v>
      </c>
      <c r="H390" s="88">
        <f t="shared" si="41"/>
        <v>1656.5</v>
      </c>
      <c r="I390" s="88">
        <f t="shared" si="41"/>
        <v>1656.5</v>
      </c>
      <c r="J390" s="42"/>
      <c r="K390" s="35"/>
      <c r="L390" s="35"/>
      <c r="M390" s="36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</row>
    <row r="391" spans="1:29" ht="137.25" customHeight="1">
      <c r="A391" s="118" t="s">
        <v>711</v>
      </c>
      <c r="B391" s="103">
        <v>805</v>
      </c>
      <c r="C391" s="87" t="s">
        <v>471</v>
      </c>
      <c r="D391" s="87" t="s">
        <v>792</v>
      </c>
      <c r="E391" s="87" t="s">
        <v>20</v>
      </c>
      <c r="F391" s="87"/>
      <c r="G391" s="88">
        <f t="shared" si="41"/>
        <v>1743.7</v>
      </c>
      <c r="H391" s="88">
        <f t="shared" si="41"/>
        <v>1656.5</v>
      </c>
      <c r="I391" s="88">
        <f t="shared" si="41"/>
        <v>1656.5</v>
      </c>
      <c r="J391" s="42"/>
      <c r="K391" s="35"/>
      <c r="L391" s="35"/>
      <c r="M391" s="36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</row>
    <row r="392" spans="1:29" ht="18" customHeight="1">
      <c r="A392" s="131" t="s">
        <v>541</v>
      </c>
      <c r="B392" s="103">
        <v>805</v>
      </c>
      <c r="C392" s="87" t="s">
        <v>471</v>
      </c>
      <c r="D392" s="87" t="s">
        <v>792</v>
      </c>
      <c r="E392" s="87" t="s">
        <v>20</v>
      </c>
      <c r="F392" s="87" t="s">
        <v>51</v>
      </c>
      <c r="G392" s="88">
        <v>1743.7</v>
      </c>
      <c r="H392" s="88">
        <v>1656.5</v>
      </c>
      <c r="I392" s="88">
        <v>1656.5</v>
      </c>
      <c r="J392" s="42"/>
      <c r="K392" s="35"/>
      <c r="L392" s="35"/>
      <c r="M392" s="36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</row>
    <row r="393" spans="1:29" ht="138" customHeight="1">
      <c r="A393" s="131" t="s">
        <v>814</v>
      </c>
      <c r="B393" s="103">
        <v>805</v>
      </c>
      <c r="C393" s="87" t="s">
        <v>471</v>
      </c>
      <c r="D393" s="87" t="s">
        <v>792</v>
      </c>
      <c r="E393" s="87" t="s">
        <v>460</v>
      </c>
      <c r="F393" s="87"/>
      <c r="G393" s="88">
        <f>G394</f>
        <v>3493.2</v>
      </c>
      <c r="H393" s="88">
        <f>H394</f>
        <v>3318.5</v>
      </c>
      <c r="I393" s="88">
        <f>I394</f>
        <v>3318.5</v>
      </c>
      <c r="J393" s="42"/>
      <c r="K393" s="35"/>
      <c r="L393" s="35"/>
      <c r="M393" s="36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</row>
    <row r="394" spans="1:29" ht="18" customHeight="1">
      <c r="A394" s="131" t="s">
        <v>695</v>
      </c>
      <c r="B394" s="103">
        <v>805</v>
      </c>
      <c r="C394" s="87" t="s">
        <v>247</v>
      </c>
      <c r="D394" s="87" t="s">
        <v>792</v>
      </c>
      <c r="E394" s="87" t="s">
        <v>460</v>
      </c>
      <c r="F394" s="87" t="s">
        <v>51</v>
      </c>
      <c r="G394" s="88">
        <f>3493.2</f>
        <v>3493.2</v>
      </c>
      <c r="H394" s="88">
        <v>3318.5</v>
      </c>
      <c r="I394" s="88">
        <v>3318.5</v>
      </c>
      <c r="J394" s="42"/>
      <c r="K394" s="35"/>
      <c r="L394" s="35"/>
      <c r="M394" s="36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</row>
    <row r="395" spans="1:29" ht="18.75" customHeight="1">
      <c r="A395" s="131" t="s">
        <v>747</v>
      </c>
      <c r="B395" s="103">
        <v>805</v>
      </c>
      <c r="C395" s="87" t="s">
        <v>471</v>
      </c>
      <c r="D395" s="87" t="s">
        <v>793</v>
      </c>
      <c r="E395" s="87"/>
      <c r="F395" s="87"/>
      <c r="G395" s="88">
        <f>G396</f>
        <v>79701.9</v>
      </c>
      <c r="H395" s="88">
        <f>H396</f>
        <v>75716.8</v>
      </c>
      <c r="I395" s="88">
        <f>I396</f>
        <v>75716.8</v>
      </c>
      <c r="J395" s="42"/>
      <c r="K395" s="35"/>
      <c r="L395" s="35"/>
      <c r="M395" s="36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</row>
    <row r="396" spans="1:29" s="48" customFormat="1" ht="19.5" customHeight="1">
      <c r="A396" s="132" t="s">
        <v>671</v>
      </c>
      <c r="B396" s="103">
        <v>805</v>
      </c>
      <c r="C396" s="87" t="s">
        <v>471</v>
      </c>
      <c r="D396" s="87" t="s">
        <v>793</v>
      </c>
      <c r="E396" s="87" t="s">
        <v>441</v>
      </c>
      <c r="F396" s="87"/>
      <c r="G396" s="88">
        <f>G397+G399</f>
        <v>79701.9</v>
      </c>
      <c r="H396" s="88">
        <f>H397+H399</f>
        <v>75716.8</v>
      </c>
      <c r="I396" s="88">
        <f>I397+I399</f>
        <v>75716.8</v>
      </c>
      <c r="J396" s="42"/>
      <c r="K396" s="35"/>
      <c r="L396" s="35"/>
      <c r="M396" s="36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</row>
    <row r="397" spans="1:29" s="49" customFormat="1" ht="85.5" customHeight="1">
      <c r="A397" s="132" t="s">
        <v>715</v>
      </c>
      <c r="B397" s="103">
        <v>805</v>
      </c>
      <c r="C397" s="87" t="s">
        <v>471</v>
      </c>
      <c r="D397" s="87" t="s">
        <v>793</v>
      </c>
      <c r="E397" s="87" t="s">
        <v>282</v>
      </c>
      <c r="F397" s="87"/>
      <c r="G397" s="88">
        <f>SUM(G398)</f>
        <v>43799.9</v>
      </c>
      <c r="H397" s="88">
        <f>SUM(H398)</f>
        <v>41609.9</v>
      </c>
      <c r="I397" s="88">
        <f>SUM(I398)</f>
        <v>41609.9</v>
      </c>
      <c r="J397" s="42"/>
      <c r="K397" s="35"/>
      <c r="L397" s="35"/>
      <c r="M397" s="36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</row>
    <row r="398" spans="1:29" s="48" customFormat="1" ht="18" customHeight="1">
      <c r="A398" s="131" t="s">
        <v>541</v>
      </c>
      <c r="B398" s="103">
        <v>805</v>
      </c>
      <c r="C398" s="87" t="s">
        <v>471</v>
      </c>
      <c r="D398" s="87" t="s">
        <v>793</v>
      </c>
      <c r="E398" s="87" t="s">
        <v>282</v>
      </c>
      <c r="F398" s="87" t="s">
        <v>51</v>
      </c>
      <c r="G398" s="88">
        <v>43799.9</v>
      </c>
      <c r="H398" s="88">
        <v>41609.9</v>
      </c>
      <c r="I398" s="88">
        <v>41609.9</v>
      </c>
      <c r="J398" s="42"/>
      <c r="K398" s="35"/>
      <c r="L398" s="35"/>
      <c r="M398" s="36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</row>
    <row r="399" spans="1:13" s="35" customFormat="1" ht="38.25" customHeight="1">
      <c r="A399" s="131" t="s">
        <v>716</v>
      </c>
      <c r="B399" s="103">
        <v>805</v>
      </c>
      <c r="C399" s="87" t="s">
        <v>471</v>
      </c>
      <c r="D399" s="87" t="s">
        <v>793</v>
      </c>
      <c r="E399" s="87" t="s">
        <v>156</v>
      </c>
      <c r="F399" s="87"/>
      <c r="G399" s="88">
        <f>G400</f>
        <v>35902</v>
      </c>
      <c r="H399" s="88">
        <f>H400</f>
        <v>34106.9</v>
      </c>
      <c r="I399" s="88">
        <f>I400</f>
        <v>34106.9</v>
      </c>
      <c r="J399" s="42"/>
      <c r="M399" s="36"/>
    </row>
    <row r="400" spans="1:13" s="35" customFormat="1" ht="18" customHeight="1">
      <c r="A400" s="131" t="s">
        <v>695</v>
      </c>
      <c r="B400" s="103">
        <v>805</v>
      </c>
      <c r="C400" s="87" t="s">
        <v>471</v>
      </c>
      <c r="D400" s="87" t="s">
        <v>793</v>
      </c>
      <c r="E400" s="87" t="s">
        <v>156</v>
      </c>
      <c r="F400" s="87" t="s">
        <v>51</v>
      </c>
      <c r="G400" s="88">
        <v>35902</v>
      </c>
      <c r="H400" s="88">
        <v>34106.9</v>
      </c>
      <c r="I400" s="88">
        <v>34106.9</v>
      </c>
      <c r="J400" s="42"/>
      <c r="M400" s="36"/>
    </row>
    <row r="401" spans="1:29" ht="16.5" hidden="1">
      <c r="A401" s="131" t="s">
        <v>472</v>
      </c>
      <c r="B401" s="103">
        <v>805</v>
      </c>
      <c r="C401" s="87" t="s">
        <v>471</v>
      </c>
      <c r="D401" s="87" t="s">
        <v>794</v>
      </c>
      <c r="E401" s="87"/>
      <c r="F401" s="87"/>
      <c r="G401" s="88">
        <f aca="true" t="shared" si="42" ref="G401:I404">G402</f>
        <v>180</v>
      </c>
      <c r="H401" s="88">
        <f t="shared" si="42"/>
        <v>0</v>
      </c>
      <c r="I401" s="88">
        <f t="shared" si="42"/>
        <v>0</v>
      </c>
      <c r="J401" s="42"/>
      <c r="K401" s="35"/>
      <c r="L401" s="35"/>
      <c r="M401" s="36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</row>
    <row r="402" spans="1:29" ht="16.5" hidden="1">
      <c r="A402" s="140" t="s">
        <v>351</v>
      </c>
      <c r="B402" s="103">
        <v>805</v>
      </c>
      <c r="C402" s="87" t="s">
        <v>471</v>
      </c>
      <c r="D402" s="87" t="s">
        <v>794</v>
      </c>
      <c r="E402" s="87" t="s">
        <v>343</v>
      </c>
      <c r="F402" s="87"/>
      <c r="G402" s="88">
        <f>G404</f>
        <v>180</v>
      </c>
      <c r="H402" s="88">
        <f>H404</f>
        <v>0</v>
      </c>
      <c r="I402" s="88">
        <f>I404</f>
        <v>0</v>
      </c>
      <c r="J402" s="42"/>
      <c r="K402" s="35"/>
      <c r="L402" s="35"/>
      <c r="M402" s="36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</row>
    <row r="403" spans="1:29" ht="16.5" hidden="1">
      <c r="A403" s="140" t="s">
        <v>347</v>
      </c>
      <c r="B403" s="103">
        <v>805</v>
      </c>
      <c r="C403" s="87" t="s">
        <v>471</v>
      </c>
      <c r="D403" s="87" t="s">
        <v>794</v>
      </c>
      <c r="E403" s="87" t="s">
        <v>344</v>
      </c>
      <c r="F403" s="87"/>
      <c r="G403" s="88">
        <f>G404</f>
        <v>180</v>
      </c>
      <c r="H403" s="88">
        <f>H404</f>
        <v>0</v>
      </c>
      <c r="I403" s="88">
        <f>I404</f>
        <v>0</v>
      </c>
      <c r="J403" s="42"/>
      <c r="K403" s="35"/>
      <c r="L403" s="35"/>
      <c r="M403" s="36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</row>
    <row r="404" spans="1:29" ht="16.5" hidden="1">
      <c r="A404" s="124" t="s">
        <v>352</v>
      </c>
      <c r="B404" s="103">
        <v>805</v>
      </c>
      <c r="C404" s="87" t="s">
        <v>471</v>
      </c>
      <c r="D404" s="87" t="s">
        <v>794</v>
      </c>
      <c r="E404" s="87" t="s">
        <v>353</v>
      </c>
      <c r="F404" s="87"/>
      <c r="G404" s="88">
        <f t="shared" si="42"/>
        <v>180</v>
      </c>
      <c r="H404" s="88">
        <f t="shared" si="42"/>
        <v>0</v>
      </c>
      <c r="I404" s="88">
        <f t="shared" si="42"/>
        <v>0</v>
      </c>
      <c r="J404" s="42"/>
      <c r="K404" s="35"/>
      <c r="L404" s="35"/>
      <c r="M404" s="36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</row>
    <row r="405" spans="1:29" ht="16.5" hidden="1">
      <c r="A405" s="124" t="s">
        <v>503</v>
      </c>
      <c r="B405" s="103">
        <v>805</v>
      </c>
      <c r="C405" s="87" t="s">
        <v>471</v>
      </c>
      <c r="D405" s="87" t="s">
        <v>794</v>
      </c>
      <c r="E405" s="87" t="s">
        <v>353</v>
      </c>
      <c r="F405" s="87" t="s">
        <v>39</v>
      </c>
      <c r="G405" s="88">
        <v>180</v>
      </c>
      <c r="H405" s="88"/>
      <c r="I405" s="88"/>
      <c r="J405" s="42"/>
      <c r="K405" s="35"/>
      <c r="L405" s="35"/>
      <c r="M405" s="36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</row>
    <row r="406" spans="1:29" ht="18" customHeight="1">
      <c r="A406" s="133" t="s">
        <v>87</v>
      </c>
      <c r="B406" s="103">
        <v>806</v>
      </c>
      <c r="C406" s="87"/>
      <c r="D406" s="87"/>
      <c r="E406" s="87"/>
      <c r="F406" s="87"/>
      <c r="G406" s="88">
        <f>SUM(G422,)</f>
        <v>361990.2</v>
      </c>
      <c r="H406" s="88">
        <f>SUM(H422,)</f>
        <v>294968.7</v>
      </c>
      <c r="I406" s="88">
        <f>SUM(I422,)</f>
        <v>283669.2</v>
      </c>
      <c r="J406" s="42"/>
      <c r="K406" s="52"/>
      <c r="L406" s="35"/>
      <c r="M406" s="36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</row>
    <row r="407" spans="1:29" ht="18" customHeight="1" hidden="1">
      <c r="A407" s="133" t="s">
        <v>418</v>
      </c>
      <c r="B407" s="103">
        <v>806</v>
      </c>
      <c r="C407" s="87" t="s">
        <v>793</v>
      </c>
      <c r="D407" s="87"/>
      <c r="E407" s="87"/>
      <c r="F407" s="87"/>
      <c r="G407" s="88">
        <f>G408</f>
        <v>0</v>
      </c>
      <c r="H407" s="88">
        <f>H408</f>
        <v>0</v>
      </c>
      <c r="I407" s="88">
        <f>I408</f>
        <v>0</v>
      </c>
      <c r="J407" s="42"/>
      <c r="K407" s="52"/>
      <c r="L407" s="35"/>
      <c r="M407" s="36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</row>
    <row r="408" spans="1:29" ht="18" customHeight="1" hidden="1">
      <c r="A408" s="124" t="s">
        <v>756</v>
      </c>
      <c r="B408" s="103">
        <v>806</v>
      </c>
      <c r="C408" s="87" t="s">
        <v>793</v>
      </c>
      <c r="D408" s="87" t="s">
        <v>790</v>
      </c>
      <c r="E408" s="87"/>
      <c r="F408" s="87"/>
      <c r="G408" s="88">
        <f>G409+G414</f>
        <v>0</v>
      </c>
      <c r="H408" s="88">
        <f>H409+H414</f>
        <v>0</v>
      </c>
      <c r="I408" s="88">
        <f>I409+I414</f>
        <v>0</v>
      </c>
      <c r="J408" s="42"/>
      <c r="K408" s="52"/>
      <c r="L408" s="35"/>
      <c r="M408" s="36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</row>
    <row r="409" spans="1:29" ht="18" customHeight="1" hidden="1">
      <c r="A409" s="124" t="s">
        <v>758</v>
      </c>
      <c r="B409" s="103">
        <v>806</v>
      </c>
      <c r="C409" s="87" t="s">
        <v>793</v>
      </c>
      <c r="D409" s="87" t="s">
        <v>790</v>
      </c>
      <c r="E409" s="87" t="s">
        <v>757</v>
      </c>
      <c r="F409" s="87"/>
      <c r="G409" s="88">
        <f>G410+G412</f>
        <v>0</v>
      </c>
      <c r="H409" s="88">
        <f>H410+H412</f>
        <v>0</v>
      </c>
      <c r="I409" s="88">
        <f>I410+I412</f>
        <v>0</v>
      </c>
      <c r="J409" s="42"/>
      <c r="K409" s="52"/>
      <c r="L409" s="35"/>
      <c r="M409" s="36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</row>
    <row r="410" spans="1:29" ht="18" customHeight="1" hidden="1">
      <c r="A410" s="124" t="s">
        <v>760</v>
      </c>
      <c r="B410" s="103">
        <v>806</v>
      </c>
      <c r="C410" s="87" t="s">
        <v>793</v>
      </c>
      <c r="D410" s="87" t="s">
        <v>790</v>
      </c>
      <c r="E410" s="87" t="s">
        <v>759</v>
      </c>
      <c r="F410" s="87"/>
      <c r="G410" s="88">
        <f>G411</f>
        <v>0</v>
      </c>
      <c r="H410" s="88">
        <f>H411</f>
        <v>0</v>
      </c>
      <c r="I410" s="88">
        <f>I411</f>
        <v>0</v>
      </c>
      <c r="J410" s="42"/>
      <c r="K410" s="52"/>
      <c r="L410" s="35"/>
      <c r="M410" s="36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</row>
    <row r="411" spans="1:29" ht="18" customHeight="1" hidden="1">
      <c r="A411" s="125" t="s">
        <v>836</v>
      </c>
      <c r="B411" s="103">
        <v>806</v>
      </c>
      <c r="C411" s="87" t="s">
        <v>793</v>
      </c>
      <c r="D411" s="87" t="s">
        <v>790</v>
      </c>
      <c r="E411" s="87" t="s">
        <v>759</v>
      </c>
      <c r="F411" s="87" t="s">
        <v>545</v>
      </c>
      <c r="G411" s="88"/>
      <c r="H411" s="88"/>
      <c r="I411" s="88"/>
      <c r="J411" s="42"/>
      <c r="K411" s="52"/>
      <c r="L411" s="35"/>
      <c r="M411" s="36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</row>
    <row r="412" spans="1:29" ht="35.25" customHeight="1" hidden="1">
      <c r="A412" s="125" t="s">
        <v>571</v>
      </c>
      <c r="B412" s="103">
        <v>806</v>
      </c>
      <c r="C412" s="87" t="s">
        <v>793</v>
      </c>
      <c r="D412" s="87" t="s">
        <v>790</v>
      </c>
      <c r="E412" s="87" t="s">
        <v>567</v>
      </c>
      <c r="F412" s="87"/>
      <c r="G412" s="88">
        <f>SUM(G413)</f>
        <v>0</v>
      </c>
      <c r="H412" s="88">
        <f>SUM(H413)</f>
        <v>0</v>
      </c>
      <c r="I412" s="88">
        <f>SUM(I413)</f>
        <v>0</v>
      </c>
      <c r="J412" s="42"/>
      <c r="K412" s="52"/>
      <c r="L412" s="35"/>
      <c r="M412" s="36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</row>
    <row r="413" spans="1:29" ht="18" customHeight="1" hidden="1">
      <c r="A413" s="125" t="s">
        <v>836</v>
      </c>
      <c r="B413" s="103">
        <v>806</v>
      </c>
      <c r="C413" s="87" t="s">
        <v>793</v>
      </c>
      <c r="D413" s="87" t="s">
        <v>790</v>
      </c>
      <c r="E413" s="87" t="s">
        <v>567</v>
      </c>
      <c r="F413" s="87" t="s">
        <v>545</v>
      </c>
      <c r="G413" s="88"/>
      <c r="H413" s="88"/>
      <c r="I413" s="88"/>
      <c r="J413" s="42"/>
      <c r="K413" s="52"/>
      <c r="L413" s="35"/>
      <c r="M413" s="36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</row>
    <row r="414" spans="1:29" ht="18" customHeight="1" hidden="1">
      <c r="A414" s="125" t="s">
        <v>277</v>
      </c>
      <c r="B414" s="103">
        <v>806</v>
      </c>
      <c r="C414" s="87" t="s">
        <v>793</v>
      </c>
      <c r="D414" s="87" t="s">
        <v>790</v>
      </c>
      <c r="E414" s="87" t="s">
        <v>381</v>
      </c>
      <c r="F414" s="87"/>
      <c r="G414" s="88">
        <f aca="true" t="shared" si="43" ref="G414:I415">SUM(G415)</f>
        <v>0</v>
      </c>
      <c r="H414" s="88">
        <f t="shared" si="43"/>
        <v>0</v>
      </c>
      <c r="I414" s="88">
        <f t="shared" si="43"/>
        <v>0</v>
      </c>
      <c r="J414" s="42"/>
      <c r="K414" s="52"/>
      <c r="L414" s="35"/>
      <c r="M414" s="36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</row>
    <row r="415" spans="1:29" ht="36" customHeight="1" hidden="1">
      <c r="A415" s="125" t="s">
        <v>569</v>
      </c>
      <c r="B415" s="103">
        <v>806</v>
      </c>
      <c r="C415" s="87" t="s">
        <v>793</v>
      </c>
      <c r="D415" s="87" t="s">
        <v>790</v>
      </c>
      <c r="E415" s="87" t="s">
        <v>572</v>
      </c>
      <c r="F415" s="87"/>
      <c r="G415" s="88">
        <f t="shared" si="43"/>
        <v>0</v>
      </c>
      <c r="H415" s="88">
        <f t="shared" si="43"/>
        <v>0</v>
      </c>
      <c r="I415" s="88">
        <f t="shared" si="43"/>
        <v>0</v>
      </c>
      <c r="J415" s="42"/>
      <c r="K415" s="52"/>
      <c r="L415" s="35"/>
      <c r="M415" s="36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</row>
    <row r="416" spans="1:29" ht="18" customHeight="1" hidden="1">
      <c r="A416" s="125" t="s">
        <v>836</v>
      </c>
      <c r="B416" s="103">
        <v>806</v>
      </c>
      <c r="C416" s="87" t="s">
        <v>793</v>
      </c>
      <c r="D416" s="87" t="s">
        <v>790</v>
      </c>
      <c r="E416" s="87" t="s">
        <v>572</v>
      </c>
      <c r="F416" s="87" t="s">
        <v>545</v>
      </c>
      <c r="G416" s="88"/>
      <c r="H416" s="88"/>
      <c r="I416" s="88"/>
      <c r="J416" s="42"/>
      <c r="K416" s="52"/>
      <c r="L416" s="35"/>
      <c r="M416" s="36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</row>
    <row r="417" spans="1:29" ht="18" customHeight="1" hidden="1">
      <c r="A417" s="131" t="s">
        <v>364</v>
      </c>
      <c r="B417" s="103">
        <v>806</v>
      </c>
      <c r="C417" s="87" t="s">
        <v>508</v>
      </c>
      <c r="D417" s="87"/>
      <c r="E417" s="87"/>
      <c r="F417" s="87"/>
      <c r="G417" s="88">
        <f>G418</f>
        <v>0</v>
      </c>
      <c r="H417" s="88">
        <f aca="true" t="shared" si="44" ref="H417:I420">H418</f>
        <v>0</v>
      </c>
      <c r="I417" s="88">
        <f t="shared" si="44"/>
        <v>0</v>
      </c>
      <c r="J417" s="42"/>
      <c r="K417" s="52"/>
      <c r="L417" s="35"/>
      <c r="M417" s="36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</row>
    <row r="418" spans="1:29" ht="18" customHeight="1" hidden="1">
      <c r="A418" s="131" t="s">
        <v>231</v>
      </c>
      <c r="B418" s="103">
        <v>806</v>
      </c>
      <c r="C418" s="87" t="s">
        <v>508</v>
      </c>
      <c r="D418" s="87" t="s">
        <v>508</v>
      </c>
      <c r="E418" s="87"/>
      <c r="F418" s="87"/>
      <c r="G418" s="88">
        <f>G419</f>
        <v>0</v>
      </c>
      <c r="H418" s="88">
        <f t="shared" si="44"/>
        <v>0</v>
      </c>
      <c r="I418" s="88">
        <f t="shared" si="44"/>
        <v>0</v>
      </c>
      <c r="J418" s="42"/>
      <c r="K418" s="52"/>
      <c r="L418" s="35"/>
      <c r="M418" s="36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</row>
    <row r="419" spans="1:29" ht="18" customHeight="1" hidden="1">
      <c r="A419" s="125" t="s">
        <v>209</v>
      </c>
      <c r="B419" s="103">
        <v>806</v>
      </c>
      <c r="C419" s="87" t="s">
        <v>508</v>
      </c>
      <c r="D419" s="87" t="s">
        <v>508</v>
      </c>
      <c r="E419" s="87" t="s">
        <v>473</v>
      </c>
      <c r="F419" s="87"/>
      <c r="G419" s="88">
        <f>G420</f>
        <v>0</v>
      </c>
      <c r="H419" s="88">
        <f t="shared" si="44"/>
        <v>0</v>
      </c>
      <c r="I419" s="88">
        <f t="shared" si="44"/>
        <v>0</v>
      </c>
      <c r="J419" s="42"/>
      <c r="K419" s="52"/>
      <c r="L419" s="35"/>
      <c r="M419" s="36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</row>
    <row r="420" spans="1:29" ht="18" customHeight="1" hidden="1">
      <c r="A420" s="140" t="s">
        <v>301</v>
      </c>
      <c r="B420" s="103">
        <v>806</v>
      </c>
      <c r="C420" s="87" t="s">
        <v>508</v>
      </c>
      <c r="D420" s="87" t="s">
        <v>508</v>
      </c>
      <c r="E420" s="87" t="s">
        <v>516</v>
      </c>
      <c r="F420" s="87"/>
      <c r="G420" s="88">
        <f>G421</f>
        <v>0</v>
      </c>
      <c r="H420" s="88">
        <f t="shared" si="44"/>
        <v>0</v>
      </c>
      <c r="I420" s="88">
        <f t="shared" si="44"/>
        <v>0</v>
      </c>
      <c r="J420" s="42"/>
      <c r="K420" s="52"/>
      <c r="L420" s="35"/>
      <c r="M420" s="36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</row>
    <row r="421" spans="1:29" ht="18" customHeight="1" hidden="1">
      <c r="A421" s="131" t="s">
        <v>537</v>
      </c>
      <c r="B421" s="103">
        <v>806</v>
      </c>
      <c r="C421" s="87" t="s">
        <v>508</v>
      </c>
      <c r="D421" s="87" t="s">
        <v>508</v>
      </c>
      <c r="E421" s="87" t="s">
        <v>516</v>
      </c>
      <c r="F421" s="87" t="s">
        <v>536</v>
      </c>
      <c r="G421" s="88"/>
      <c r="H421" s="88"/>
      <c r="I421" s="88"/>
      <c r="J421" s="42"/>
      <c r="K421" s="52"/>
      <c r="L421" s="35"/>
      <c r="M421" s="36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</row>
    <row r="422" spans="1:29" ht="18.75" customHeight="1">
      <c r="A422" s="131" t="s">
        <v>719</v>
      </c>
      <c r="B422" s="103">
        <v>806</v>
      </c>
      <c r="C422" s="87" t="s">
        <v>40</v>
      </c>
      <c r="D422" s="87"/>
      <c r="E422" s="87"/>
      <c r="F422" s="87"/>
      <c r="G422" s="88">
        <f>SUM(G423,G434,G448,G459,G468,G474)</f>
        <v>361990.2</v>
      </c>
      <c r="H422" s="88">
        <f>SUM(H423,H434,H448,H459,H468,H474)</f>
        <v>294968.7</v>
      </c>
      <c r="I422" s="88">
        <f>SUM(I423,I434,I448,I459,I468,I474)</f>
        <v>283669.2</v>
      </c>
      <c r="J422" s="42"/>
      <c r="K422" s="52"/>
      <c r="L422" s="35"/>
      <c r="M422" s="36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</row>
    <row r="423" spans="1:29" ht="18.75" customHeight="1">
      <c r="A423" s="131" t="s">
        <v>720</v>
      </c>
      <c r="B423" s="103">
        <v>806</v>
      </c>
      <c r="C423" s="87" t="s">
        <v>40</v>
      </c>
      <c r="D423" s="87" t="s">
        <v>790</v>
      </c>
      <c r="E423" s="87"/>
      <c r="F423" s="87"/>
      <c r="G423" s="88">
        <f>SUM(G424,G429)</f>
        <v>147065.7</v>
      </c>
      <c r="H423" s="88">
        <f>SUM(H424,H429)</f>
        <v>81762.2</v>
      </c>
      <c r="I423" s="88">
        <f>SUM(I424,I429)</f>
        <v>87590.7</v>
      </c>
      <c r="J423" s="42"/>
      <c r="K423" s="52"/>
      <c r="L423" s="35"/>
      <c r="M423" s="36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</row>
    <row r="424" spans="1:29" ht="18" customHeight="1">
      <c r="A424" s="132" t="s">
        <v>664</v>
      </c>
      <c r="B424" s="103">
        <v>806</v>
      </c>
      <c r="C424" s="87" t="s">
        <v>40</v>
      </c>
      <c r="D424" s="87" t="s">
        <v>790</v>
      </c>
      <c r="E424" s="87" t="s">
        <v>121</v>
      </c>
      <c r="F424" s="87"/>
      <c r="G424" s="88">
        <f>SUM(G425,G427)</f>
        <v>137899.1</v>
      </c>
      <c r="H424" s="88">
        <f>SUM(H425,H427)</f>
        <v>76052</v>
      </c>
      <c r="I424" s="88">
        <f>SUM(I425,I427)</f>
        <v>81438.3</v>
      </c>
      <c r="J424" s="42"/>
      <c r="K424" s="52"/>
      <c r="L424" s="35"/>
      <c r="M424" s="36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</row>
    <row r="425" spans="1:29" ht="18" customHeight="1">
      <c r="A425" s="131" t="s">
        <v>564</v>
      </c>
      <c r="B425" s="103">
        <v>806</v>
      </c>
      <c r="C425" s="87" t="s">
        <v>40</v>
      </c>
      <c r="D425" s="87" t="s">
        <v>790</v>
      </c>
      <c r="E425" s="87" t="s">
        <v>480</v>
      </c>
      <c r="F425" s="87"/>
      <c r="G425" s="88">
        <f>SUM(G426)</f>
        <v>3471.5</v>
      </c>
      <c r="H425" s="88">
        <f>SUM(H426)</f>
        <v>3471.5</v>
      </c>
      <c r="I425" s="88">
        <f>SUM(I426)</f>
        <v>3471.5</v>
      </c>
      <c r="J425" s="42"/>
      <c r="K425" s="52"/>
      <c r="L425" s="35"/>
      <c r="M425" s="36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</row>
    <row r="426" spans="1:29" ht="17.25" customHeight="1">
      <c r="A426" s="125" t="s">
        <v>140</v>
      </c>
      <c r="B426" s="103">
        <v>806</v>
      </c>
      <c r="C426" s="87" t="s">
        <v>40</v>
      </c>
      <c r="D426" s="87" t="s">
        <v>790</v>
      </c>
      <c r="E426" s="87" t="s">
        <v>480</v>
      </c>
      <c r="F426" s="87" t="s">
        <v>545</v>
      </c>
      <c r="G426" s="88">
        <v>3471.5</v>
      </c>
      <c r="H426" s="88">
        <v>3471.5</v>
      </c>
      <c r="I426" s="88">
        <v>3471.5</v>
      </c>
      <c r="J426" s="42"/>
      <c r="K426" s="52"/>
      <c r="L426" s="35"/>
      <c r="M426" s="36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</row>
    <row r="427" spans="1:29" ht="18" customHeight="1">
      <c r="A427" s="131" t="s">
        <v>389</v>
      </c>
      <c r="B427" s="103">
        <v>806</v>
      </c>
      <c r="C427" s="87" t="s">
        <v>40</v>
      </c>
      <c r="D427" s="87" t="s">
        <v>790</v>
      </c>
      <c r="E427" s="87" t="s">
        <v>122</v>
      </c>
      <c r="F427" s="87"/>
      <c r="G427" s="88">
        <f>SUM(G428)</f>
        <v>134427.6</v>
      </c>
      <c r="H427" s="88">
        <f>SUM(H428)</f>
        <v>72580.5</v>
      </c>
      <c r="I427" s="88">
        <f>SUM(I428)</f>
        <v>77966.8</v>
      </c>
      <c r="J427" s="42"/>
      <c r="K427" s="52"/>
      <c r="L427" s="35"/>
      <c r="M427" s="36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</row>
    <row r="428" spans="1:29" ht="18.75" customHeight="1">
      <c r="A428" s="125" t="s">
        <v>836</v>
      </c>
      <c r="B428" s="103">
        <v>806</v>
      </c>
      <c r="C428" s="87" t="s">
        <v>40</v>
      </c>
      <c r="D428" s="87" t="s">
        <v>790</v>
      </c>
      <c r="E428" s="87" t="s">
        <v>122</v>
      </c>
      <c r="F428" s="87" t="s">
        <v>545</v>
      </c>
      <c r="G428" s="88">
        <v>134427.6</v>
      </c>
      <c r="H428" s="88">
        <v>72580.5</v>
      </c>
      <c r="I428" s="88">
        <v>77966.8</v>
      </c>
      <c r="J428" s="42"/>
      <c r="K428" s="35"/>
      <c r="L428" s="35"/>
      <c r="M428" s="36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</row>
    <row r="429" spans="1:29" ht="16.5">
      <c r="A429" s="131" t="s">
        <v>538</v>
      </c>
      <c r="B429" s="103">
        <v>806</v>
      </c>
      <c r="C429" s="87" t="s">
        <v>40</v>
      </c>
      <c r="D429" s="87" t="s">
        <v>790</v>
      </c>
      <c r="E429" s="87" t="s">
        <v>123</v>
      </c>
      <c r="F429" s="87"/>
      <c r="G429" s="88">
        <f>SUM(G430,G432)</f>
        <v>9166.599999999999</v>
      </c>
      <c r="H429" s="88">
        <f>SUM(H430,H432)</f>
        <v>5710.2</v>
      </c>
      <c r="I429" s="88">
        <f>SUM(I430,I432)</f>
        <v>6152.400000000001</v>
      </c>
      <c r="J429" s="42"/>
      <c r="K429" s="35"/>
      <c r="L429" s="35"/>
      <c r="M429" s="36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</row>
    <row r="430" spans="1:29" ht="20.25" customHeight="1">
      <c r="A430" s="131" t="s">
        <v>475</v>
      </c>
      <c r="B430" s="103">
        <v>806</v>
      </c>
      <c r="C430" s="87" t="s">
        <v>40</v>
      </c>
      <c r="D430" s="87" t="s">
        <v>790</v>
      </c>
      <c r="E430" s="87" t="s">
        <v>797</v>
      </c>
      <c r="F430" s="87"/>
      <c r="G430" s="88">
        <f>SUM(G431)</f>
        <v>421.8</v>
      </c>
      <c r="H430" s="88">
        <f>SUM(H431)</f>
        <v>421.8</v>
      </c>
      <c r="I430" s="88">
        <f>SUM(I431)</f>
        <v>421.8</v>
      </c>
      <c r="J430" s="42"/>
      <c r="K430" s="35"/>
      <c r="L430" s="35"/>
      <c r="M430" s="36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</row>
    <row r="431" spans="1:29" ht="18.75" customHeight="1">
      <c r="A431" s="125" t="s">
        <v>836</v>
      </c>
      <c r="B431" s="103">
        <v>806</v>
      </c>
      <c r="C431" s="87" t="s">
        <v>40</v>
      </c>
      <c r="D431" s="87" t="s">
        <v>790</v>
      </c>
      <c r="E431" s="87" t="s">
        <v>797</v>
      </c>
      <c r="F431" s="87" t="s">
        <v>545</v>
      </c>
      <c r="G431" s="88">
        <v>421.8</v>
      </c>
      <c r="H431" s="88">
        <v>421.8</v>
      </c>
      <c r="I431" s="88">
        <v>421.8</v>
      </c>
      <c r="J431" s="42"/>
      <c r="K431" s="35"/>
      <c r="L431" s="35"/>
      <c r="M431" s="36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</row>
    <row r="432" spans="1:29" ht="20.25" customHeight="1">
      <c r="A432" s="131" t="s">
        <v>389</v>
      </c>
      <c r="B432" s="103">
        <v>806</v>
      </c>
      <c r="C432" s="87" t="s">
        <v>40</v>
      </c>
      <c r="D432" s="87" t="s">
        <v>790</v>
      </c>
      <c r="E432" s="87" t="s">
        <v>124</v>
      </c>
      <c r="F432" s="87"/>
      <c r="G432" s="88">
        <f>SUM(G433)</f>
        <v>8744.8</v>
      </c>
      <c r="H432" s="88">
        <f>SUM(H433)</f>
        <v>5288.4</v>
      </c>
      <c r="I432" s="88">
        <f>SUM(I433)</f>
        <v>5730.6</v>
      </c>
      <c r="J432" s="42"/>
      <c r="K432" s="35"/>
      <c r="L432" s="35"/>
      <c r="M432" s="36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</row>
    <row r="433" spans="1:29" ht="19.5" customHeight="1">
      <c r="A433" s="125" t="s">
        <v>836</v>
      </c>
      <c r="B433" s="103">
        <v>806</v>
      </c>
      <c r="C433" s="87" t="s">
        <v>40</v>
      </c>
      <c r="D433" s="87" t="s">
        <v>790</v>
      </c>
      <c r="E433" s="87" t="s">
        <v>124</v>
      </c>
      <c r="F433" s="87" t="s">
        <v>545</v>
      </c>
      <c r="G433" s="88">
        <v>8744.8</v>
      </c>
      <c r="H433" s="88">
        <v>5288.4</v>
      </c>
      <c r="I433" s="88">
        <v>5730.6</v>
      </c>
      <c r="J433" s="42"/>
      <c r="K433" s="35"/>
      <c r="L433" s="35"/>
      <c r="M433" s="36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</row>
    <row r="434" spans="1:29" ht="20.25" customHeight="1">
      <c r="A434" s="131" t="s">
        <v>253</v>
      </c>
      <c r="B434" s="103">
        <v>806</v>
      </c>
      <c r="C434" s="87" t="s">
        <v>40</v>
      </c>
      <c r="D434" s="87" t="s">
        <v>791</v>
      </c>
      <c r="E434" s="87"/>
      <c r="F434" s="87"/>
      <c r="G434" s="88">
        <f>SUM(G435,G440)</f>
        <v>46616.6</v>
      </c>
      <c r="H434" s="88">
        <f>SUM(H435,H440)</f>
        <v>43987.1</v>
      </c>
      <c r="I434" s="88">
        <f>SUM(I435,I440)</f>
        <v>46743.7</v>
      </c>
      <c r="J434" s="42"/>
      <c r="K434" s="35"/>
      <c r="L434" s="35"/>
      <c r="M434" s="36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</row>
    <row r="435" spans="1:29" ht="18" customHeight="1">
      <c r="A435" s="132" t="s">
        <v>664</v>
      </c>
      <c r="B435" s="103">
        <v>806</v>
      </c>
      <c r="C435" s="87" t="s">
        <v>40</v>
      </c>
      <c r="D435" s="87" t="s">
        <v>791</v>
      </c>
      <c r="E435" s="87" t="s">
        <v>121</v>
      </c>
      <c r="F435" s="87"/>
      <c r="G435" s="88">
        <f>SUM(G436,G438)</f>
        <v>14956.7</v>
      </c>
      <c r="H435" s="88">
        <f>SUM(H436,H438)</f>
        <v>15878.300000000001</v>
      </c>
      <c r="I435" s="88">
        <f>SUM(I436,I438)</f>
        <v>16876.9</v>
      </c>
      <c r="J435" s="42"/>
      <c r="K435" s="35"/>
      <c r="L435" s="35"/>
      <c r="M435" s="36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</row>
    <row r="436" spans="1:29" ht="18" customHeight="1">
      <c r="A436" s="131" t="s">
        <v>564</v>
      </c>
      <c r="B436" s="103">
        <v>806</v>
      </c>
      <c r="C436" s="87" t="s">
        <v>40</v>
      </c>
      <c r="D436" s="87" t="s">
        <v>791</v>
      </c>
      <c r="E436" s="87" t="s">
        <v>480</v>
      </c>
      <c r="F436" s="87"/>
      <c r="G436" s="88">
        <f>SUM(G437)</f>
        <v>401.7</v>
      </c>
      <c r="H436" s="88">
        <f>SUM(H437)</f>
        <v>401.7</v>
      </c>
      <c r="I436" s="88">
        <f>SUM(I437)</f>
        <v>401.7</v>
      </c>
      <c r="J436" s="42"/>
      <c r="K436" s="35"/>
      <c r="L436" s="35"/>
      <c r="M436" s="36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</row>
    <row r="437" spans="1:29" ht="18.75" customHeight="1">
      <c r="A437" s="125" t="s">
        <v>140</v>
      </c>
      <c r="B437" s="103">
        <v>806</v>
      </c>
      <c r="C437" s="87" t="s">
        <v>40</v>
      </c>
      <c r="D437" s="87" t="s">
        <v>791</v>
      </c>
      <c r="E437" s="87" t="s">
        <v>480</v>
      </c>
      <c r="F437" s="87" t="s">
        <v>545</v>
      </c>
      <c r="G437" s="88">
        <v>401.7</v>
      </c>
      <c r="H437" s="88">
        <v>401.7</v>
      </c>
      <c r="I437" s="88">
        <v>401.7</v>
      </c>
      <c r="J437" s="42"/>
      <c r="K437" s="35"/>
      <c r="L437" s="35"/>
      <c r="M437" s="36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</row>
    <row r="438" spans="1:29" ht="18.75" customHeight="1">
      <c r="A438" s="131" t="s">
        <v>540</v>
      </c>
      <c r="B438" s="103">
        <v>806</v>
      </c>
      <c r="C438" s="87" t="s">
        <v>40</v>
      </c>
      <c r="D438" s="87" t="s">
        <v>791</v>
      </c>
      <c r="E438" s="87" t="s">
        <v>122</v>
      </c>
      <c r="F438" s="87"/>
      <c r="G438" s="88">
        <f>SUM(G439)</f>
        <v>14555</v>
      </c>
      <c r="H438" s="88">
        <f>SUM(H439)</f>
        <v>15476.6</v>
      </c>
      <c r="I438" s="88">
        <f>SUM(I439)</f>
        <v>16475.2</v>
      </c>
      <c r="J438" s="42"/>
      <c r="K438" s="35"/>
      <c r="L438" s="35"/>
      <c r="M438" s="36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</row>
    <row r="439" spans="1:29" ht="19.5" customHeight="1">
      <c r="A439" s="125" t="s">
        <v>836</v>
      </c>
      <c r="B439" s="103">
        <v>806</v>
      </c>
      <c r="C439" s="87" t="s">
        <v>40</v>
      </c>
      <c r="D439" s="87" t="s">
        <v>791</v>
      </c>
      <c r="E439" s="87" t="s">
        <v>122</v>
      </c>
      <c r="F439" s="87" t="s">
        <v>545</v>
      </c>
      <c r="G439" s="88">
        <v>14555</v>
      </c>
      <c r="H439" s="88">
        <v>15476.6</v>
      </c>
      <c r="I439" s="88">
        <v>16475.2</v>
      </c>
      <c r="J439" s="42"/>
      <c r="K439" s="35"/>
      <c r="L439" s="35"/>
      <c r="M439" s="36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</row>
    <row r="440" spans="1:29" ht="19.5" customHeight="1">
      <c r="A440" s="131" t="s">
        <v>667</v>
      </c>
      <c r="B440" s="103">
        <v>806</v>
      </c>
      <c r="C440" s="87" t="s">
        <v>40</v>
      </c>
      <c r="D440" s="87" t="s">
        <v>791</v>
      </c>
      <c r="E440" s="87" t="s">
        <v>125</v>
      </c>
      <c r="F440" s="87"/>
      <c r="G440" s="88">
        <f>SUM(G441,G443)</f>
        <v>31659.899999999998</v>
      </c>
      <c r="H440" s="88">
        <f>SUM(H441,H443)</f>
        <v>28108.8</v>
      </c>
      <c r="I440" s="88">
        <f>SUM(I441,I443)</f>
        <v>29866.8</v>
      </c>
      <c r="J440" s="42"/>
      <c r="K440" s="35"/>
      <c r="L440" s="35"/>
      <c r="M440" s="36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</row>
    <row r="441" spans="1:29" ht="18" customHeight="1">
      <c r="A441" s="131" t="s">
        <v>564</v>
      </c>
      <c r="B441" s="103">
        <v>806</v>
      </c>
      <c r="C441" s="87" t="s">
        <v>40</v>
      </c>
      <c r="D441" s="87" t="s">
        <v>791</v>
      </c>
      <c r="E441" s="87" t="s">
        <v>481</v>
      </c>
      <c r="F441" s="87"/>
      <c r="G441" s="88">
        <f>SUM(G442)</f>
        <v>826.6</v>
      </c>
      <c r="H441" s="88">
        <f>SUM(H442)</f>
        <v>826.6</v>
      </c>
      <c r="I441" s="88">
        <f>SUM(I442)</f>
        <v>826.6</v>
      </c>
      <c r="J441" s="42"/>
      <c r="K441" s="35"/>
      <c r="L441" s="35"/>
      <c r="M441" s="36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</row>
    <row r="442" spans="1:29" ht="20.25" customHeight="1">
      <c r="A442" s="125" t="s">
        <v>836</v>
      </c>
      <c r="B442" s="103">
        <v>806</v>
      </c>
      <c r="C442" s="87" t="s">
        <v>40</v>
      </c>
      <c r="D442" s="87" t="s">
        <v>791</v>
      </c>
      <c r="E442" s="87" t="s">
        <v>481</v>
      </c>
      <c r="F442" s="87" t="s">
        <v>545</v>
      </c>
      <c r="G442" s="88">
        <v>826.6</v>
      </c>
      <c r="H442" s="88">
        <v>826.6</v>
      </c>
      <c r="I442" s="88">
        <v>826.6</v>
      </c>
      <c r="J442" s="42"/>
      <c r="K442" s="35"/>
      <c r="L442" s="35"/>
      <c r="M442" s="36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</row>
    <row r="443" spans="1:29" ht="20.25" customHeight="1">
      <c r="A443" s="131" t="s">
        <v>389</v>
      </c>
      <c r="B443" s="103">
        <v>806</v>
      </c>
      <c r="C443" s="87" t="s">
        <v>40</v>
      </c>
      <c r="D443" s="87" t="s">
        <v>791</v>
      </c>
      <c r="E443" s="87" t="s">
        <v>126</v>
      </c>
      <c r="F443" s="87"/>
      <c r="G443" s="88">
        <f>SUM(G444)</f>
        <v>30833.3</v>
      </c>
      <c r="H443" s="88">
        <f>SUM(H444)</f>
        <v>27282.2</v>
      </c>
      <c r="I443" s="88">
        <f>SUM(I444)</f>
        <v>29040.2</v>
      </c>
      <c r="J443" s="42"/>
      <c r="K443" s="35"/>
      <c r="L443" s="35"/>
      <c r="M443" s="36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</row>
    <row r="444" spans="1:29" ht="19.5" customHeight="1">
      <c r="A444" s="125" t="s">
        <v>140</v>
      </c>
      <c r="B444" s="103">
        <v>806</v>
      </c>
      <c r="C444" s="87" t="s">
        <v>40</v>
      </c>
      <c r="D444" s="87" t="s">
        <v>791</v>
      </c>
      <c r="E444" s="87" t="s">
        <v>126</v>
      </c>
      <c r="F444" s="87" t="s">
        <v>545</v>
      </c>
      <c r="G444" s="88">
        <v>30833.3</v>
      </c>
      <c r="H444" s="88">
        <v>27282.2</v>
      </c>
      <c r="I444" s="88">
        <v>29040.2</v>
      </c>
      <c r="J444" s="42"/>
      <c r="K444" s="35"/>
      <c r="L444" s="35"/>
      <c r="M444" s="36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</row>
    <row r="445" spans="1:29" ht="19.5" customHeight="1" hidden="1">
      <c r="A445" s="132" t="s">
        <v>101</v>
      </c>
      <c r="B445" s="103">
        <v>806</v>
      </c>
      <c r="C445" s="87" t="s">
        <v>40</v>
      </c>
      <c r="D445" s="87" t="s">
        <v>791</v>
      </c>
      <c r="E445" s="87" t="s">
        <v>441</v>
      </c>
      <c r="F445" s="87"/>
      <c r="G445" s="88">
        <f aca="true" t="shared" si="45" ref="G445:I446">SUM(G446)</f>
        <v>0</v>
      </c>
      <c r="H445" s="88">
        <f t="shared" si="45"/>
        <v>0</v>
      </c>
      <c r="I445" s="88">
        <f t="shared" si="45"/>
        <v>0</v>
      </c>
      <c r="J445" s="42"/>
      <c r="K445" s="35"/>
      <c r="L445" s="35"/>
      <c r="M445" s="36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</row>
    <row r="446" spans="1:29" ht="69.75" customHeight="1" hidden="1">
      <c r="A446" s="132" t="s">
        <v>777</v>
      </c>
      <c r="B446" s="103">
        <v>806</v>
      </c>
      <c r="C446" s="87" t="s">
        <v>40</v>
      </c>
      <c r="D446" s="87" t="s">
        <v>791</v>
      </c>
      <c r="E446" s="87" t="s">
        <v>75</v>
      </c>
      <c r="F446" s="87"/>
      <c r="G446" s="88">
        <f t="shared" si="45"/>
        <v>0</v>
      </c>
      <c r="H446" s="88">
        <f t="shared" si="45"/>
        <v>0</v>
      </c>
      <c r="I446" s="88">
        <f t="shared" si="45"/>
        <v>0</v>
      </c>
      <c r="J446" s="42"/>
      <c r="K446" s="35"/>
      <c r="L446" s="35"/>
      <c r="M446" s="36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</row>
    <row r="447" spans="1:29" ht="16.5" hidden="1">
      <c r="A447" s="125" t="s">
        <v>836</v>
      </c>
      <c r="B447" s="103">
        <v>806</v>
      </c>
      <c r="C447" s="87" t="s">
        <v>40</v>
      </c>
      <c r="D447" s="87" t="s">
        <v>791</v>
      </c>
      <c r="E447" s="87" t="s">
        <v>75</v>
      </c>
      <c r="F447" s="87" t="s">
        <v>545</v>
      </c>
      <c r="G447" s="88"/>
      <c r="H447" s="88"/>
      <c r="I447" s="88"/>
      <c r="J447" s="42"/>
      <c r="K447" s="35"/>
      <c r="L447" s="35"/>
      <c r="M447" s="36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</row>
    <row r="448" spans="1:29" ht="16.5">
      <c r="A448" s="131" t="s">
        <v>798</v>
      </c>
      <c r="B448" s="103">
        <v>806</v>
      </c>
      <c r="C448" s="87" t="s">
        <v>40</v>
      </c>
      <c r="D448" s="87" t="s">
        <v>792</v>
      </c>
      <c r="E448" s="87"/>
      <c r="F448" s="87"/>
      <c r="G448" s="88">
        <f>G449+G454</f>
        <v>2882.1</v>
      </c>
      <c r="H448" s="88">
        <f>H449+H454</f>
        <v>3100.9</v>
      </c>
      <c r="I448" s="88">
        <f>I449+I454</f>
        <v>3341.2999999999997</v>
      </c>
      <c r="J448" s="42"/>
      <c r="K448" s="35"/>
      <c r="L448" s="35"/>
      <c r="M448" s="36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</row>
    <row r="449" spans="1:29" ht="16.5">
      <c r="A449" s="132" t="s">
        <v>664</v>
      </c>
      <c r="B449" s="103">
        <v>806</v>
      </c>
      <c r="C449" s="87" t="s">
        <v>40</v>
      </c>
      <c r="D449" s="87" t="s">
        <v>792</v>
      </c>
      <c r="E449" s="87" t="s">
        <v>121</v>
      </c>
      <c r="F449" s="87"/>
      <c r="G449" s="88">
        <f>SUM(G450,G452)</f>
        <v>2552.6</v>
      </c>
      <c r="H449" s="88">
        <f>SUM(H450,H452)</f>
        <v>2738.8</v>
      </c>
      <c r="I449" s="88">
        <f>SUM(I450,I452)</f>
        <v>2943.1</v>
      </c>
      <c r="J449" s="42"/>
      <c r="K449" s="35"/>
      <c r="L449" s="35"/>
      <c r="M449" s="36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</row>
    <row r="450" spans="1:29" ht="18.75" customHeight="1">
      <c r="A450" s="131" t="s">
        <v>564</v>
      </c>
      <c r="B450" s="103">
        <v>806</v>
      </c>
      <c r="C450" s="87" t="s">
        <v>40</v>
      </c>
      <c r="D450" s="87" t="s">
        <v>792</v>
      </c>
      <c r="E450" s="87" t="s">
        <v>480</v>
      </c>
      <c r="F450" s="87"/>
      <c r="G450" s="88">
        <f>SUM(G451)</f>
        <v>49.5</v>
      </c>
      <c r="H450" s="88">
        <f>SUM(H451)</f>
        <v>49.5</v>
      </c>
      <c r="I450" s="88">
        <f>SUM(I451)</f>
        <v>49.5</v>
      </c>
      <c r="J450" s="42"/>
      <c r="K450" s="35"/>
      <c r="L450" s="35"/>
      <c r="M450" s="36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</row>
    <row r="451" spans="1:29" ht="18.75" customHeight="1">
      <c r="A451" s="125" t="s">
        <v>836</v>
      </c>
      <c r="B451" s="103">
        <v>806</v>
      </c>
      <c r="C451" s="87" t="s">
        <v>40</v>
      </c>
      <c r="D451" s="87" t="s">
        <v>792</v>
      </c>
      <c r="E451" s="87" t="s">
        <v>480</v>
      </c>
      <c r="F451" s="87" t="s">
        <v>545</v>
      </c>
      <c r="G451" s="88">
        <v>49.5</v>
      </c>
      <c r="H451" s="88">
        <v>49.5</v>
      </c>
      <c r="I451" s="88">
        <v>49.5</v>
      </c>
      <c r="J451" s="42"/>
      <c r="K451" s="35"/>
      <c r="L451" s="35"/>
      <c r="M451" s="36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</row>
    <row r="452" spans="1:29" ht="18.75" customHeight="1">
      <c r="A452" s="131" t="s">
        <v>389</v>
      </c>
      <c r="B452" s="103">
        <v>806</v>
      </c>
      <c r="C452" s="87" t="s">
        <v>40</v>
      </c>
      <c r="D452" s="87" t="s">
        <v>792</v>
      </c>
      <c r="E452" s="87" t="s">
        <v>122</v>
      </c>
      <c r="F452" s="87"/>
      <c r="G452" s="88">
        <f>SUM(G453)</f>
        <v>2503.1</v>
      </c>
      <c r="H452" s="88">
        <f>SUM(H453)</f>
        <v>2689.3</v>
      </c>
      <c r="I452" s="88">
        <f>SUM(I453)</f>
        <v>2893.6</v>
      </c>
      <c r="J452" s="42"/>
      <c r="K452" s="35"/>
      <c r="L452" s="35"/>
      <c r="M452" s="36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</row>
    <row r="453" spans="1:29" ht="18" customHeight="1">
      <c r="A453" s="125" t="s">
        <v>140</v>
      </c>
      <c r="B453" s="103">
        <v>806</v>
      </c>
      <c r="C453" s="87" t="s">
        <v>40</v>
      </c>
      <c r="D453" s="87" t="s">
        <v>792</v>
      </c>
      <c r="E453" s="87" t="s">
        <v>122</v>
      </c>
      <c r="F453" s="87" t="s">
        <v>545</v>
      </c>
      <c r="G453" s="88">
        <v>2503.1</v>
      </c>
      <c r="H453" s="88">
        <v>2689.3</v>
      </c>
      <c r="I453" s="88">
        <v>2893.6</v>
      </c>
      <c r="J453" s="42"/>
      <c r="K453" s="35"/>
      <c r="L453" s="35"/>
      <c r="M453" s="36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</row>
    <row r="454" spans="1:29" ht="18" customHeight="1">
      <c r="A454" s="131" t="s">
        <v>667</v>
      </c>
      <c r="B454" s="103">
        <v>806</v>
      </c>
      <c r="C454" s="87" t="s">
        <v>40</v>
      </c>
      <c r="D454" s="87" t="s">
        <v>792</v>
      </c>
      <c r="E454" s="87" t="s">
        <v>125</v>
      </c>
      <c r="F454" s="87"/>
      <c r="G454" s="88">
        <f>G455+G457</f>
        <v>329.5</v>
      </c>
      <c r="H454" s="88">
        <f>H455+H457</f>
        <v>362.09999999999997</v>
      </c>
      <c r="I454" s="88">
        <f>I455+I457</f>
        <v>398.2</v>
      </c>
      <c r="J454" s="42"/>
      <c r="K454" s="35"/>
      <c r="L454" s="35"/>
      <c r="M454" s="36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</row>
    <row r="455" spans="1:29" s="48" customFormat="1" ht="18" customHeight="1">
      <c r="A455" s="131" t="s">
        <v>564</v>
      </c>
      <c r="B455" s="103">
        <v>806</v>
      </c>
      <c r="C455" s="87" t="s">
        <v>40</v>
      </c>
      <c r="D455" s="87" t="s">
        <v>792</v>
      </c>
      <c r="E455" s="87" t="s">
        <v>481</v>
      </c>
      <c r="F455" s="87"/>
      <c r="G455" s="88">
        <f>SUM(G456)</f>
        <v>37.7</v>
      </c>
      <c r="H455" s="88">
        <f>SUM(H456)</f>
        <v>37.7</v>
      </c>
      <c r="I455" s="88">
        <f>SUM(I456)</f>
        <v>37.7</v>
      </c>
      <c r="J455" s="42"/>
      <c r="K455" s="35"/>
      <c r="L455" s="35"/>
      <c r="M455" s="36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</row>
    <row r="456" spans="1:29" s="49" customFormat="1" ht="18" customHeight="1">
      <c r="A456" s="125" t="s">
        <v>836</v>
      </c>
      <c r="B456" s="103">
        <v>806</v>
      </c>
      <c r="C456" s="87" t="s">
        <v>40</v>
      </c>
      <c r="D456" s="87" t="s">
        <v>792</v>
      </c>
      <c r="E456" s="87" t="s">
        <v>481</v>
      </c>
      <c r="F456" s="87" t="s">
        <v>545</v>
      </c>
      <c r="G456" s="88">
        <v>37.7</v>
      </c>
      <c r="H456" s="88">
        <v>37.7</v>
      </c>
      <c r="I456" s="88">
        <v>37.7</v>
      </c>
      <c r="J456" s="42"/>
      <c r="K456" s="35"/>
      <c r="L456" s="35"/>
      <c r="M456" s="36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</row>
    <row r="457" spans="1:29" ht="18" customHeight="1">
      <c r="A457" s="131" t="s">
        <v>540</v>
      </c>
      <c r="B457" s="103">
        <v>806</v>
      </c>
      <c r="C457" s="87" t="s">
        <v>40</v>
      </c>
      <c r="D457" s="87" t="s">
        <v>792</v>
      </c>
      <c r="E457" s="87" t="s">
        <v>126</v>
      </c>
      <c r="F457" s="87"/>
      <c r="G457" s="88">
        <f>SUM(G458)</f>
        <v>291.8</v>
      </c>
      <c r="H457" s="88">
        <f>SUM(H458)</f>
        <v>324.4</v>
      </c>
      <c r="I457" s="88">
        <f>SUM(I458)</f>
        <v>360.5</v>
      </c>
      <c r="J457" s="42"/>
      <c r="K457" s="35"/>
      <c r="L457" s="35"/>
      <c r="M457" s="36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</row>
    <row r="458" spans="1:29" ht="18" customHeight="1">
      <c r="A458" s="125" t="s">
        <v>836</v>
      </c>
      <c r="B458" s="103">
        <v>806</v>
      </c>
      <c r="C458" s="87" t="s">
        <v>40</v>
      </c>
      <c r="D458" s="87" t="s">
        <v>792</v>
      </c>
      <c r="E458" s="87" t="s">
        <v>126</v>
      </c>
      <c r="F458" s="87" t="s">
        <v>545</v>
      </c>
      <c r="G458" s="88">
        <v>291.8</v>
      </c>
      <c r="H458" s="88">
        <v>324.4</v>
      </c>
      <c r="I458" s="88">
        <v>360.5</v>
      </c>
      <c r="J458" s="42"/>
      <c r="K458" s="35"/>
      <c r="L458" s="35"/>
      <c r="M458" s="36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</row>
    <row r="459" spans="1:29" ht="18.75" customHeight="1">
      <c r="A459" s="132" t="s">
        <v>254</v>
      </c>
      <c r="B459" s="103">
        <v>806</v>
      </c>
      <c r="C459" s="87" t="s">
        <v>40</v>
      </c>
      <c r="D459" s="87" t="s">
        <v>793</v>
      </c>
      <c r="E459" s="87"/>
      <c r="F459" s="87"/>
      <c r="G459" s="88">
        <f>SUM(G460,G465)</f>
        <v>126600.90000000001</v>
      </c>
      <c r="H459" s="88">
        <f>SUM(H460,H465)</f>
        <v>123445.3</v>
      </c>
      <c r="I459" s="88">
        <f>SUM(I460,I465)</f>
        <v>105263.1</v>
      </c>
      <c r="J459" s="42"/>
      <c r="K459" s="35"/>
      <c r="L459" s="35"/>
      <c r="M459" s="36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</row>
    <row r="460" spans="1:29" ht="19.5" customHeight="1">
      <c r="A460" s="131" t="s">
        <v>670</v>
      </c>
      <c r="B460" s="103">
        <v>806</v>
      </c>
      <c r="C460" s="87" t="s">
        <v>40</v>
      </c>
      <c r="D460" s="87" t="s">
        <v>793</v>
      </c>
      <c r="E460" s="87" t="s">
        <v>127</v>
      </c>
      <c r="F460" s="87"/>
      <c r="G460" s="88">
        <f>SUM(G461,G463)</f>
        <v>107482.90000000001</v>
      </c>
      <c r="H460" s="88">
        <f>SUM(H461,H463)</f>
        <v>104318.3</v>
      </c>
      <c r="I460" s="88">
        <f>SUM(I461,I463)</f>
        <v>105263.1</v>
      </c>
      <c r="J460" s="42"/>
      <c r="K460" s="35"/>
      <c r="L460" s="35"/>
      <c r="M460" s="36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</row>
    <row r="461" spans="1:29" ht="18" customHeight="1">
      <c r="A461" s="131" t="s">
        <v>475</v>
      </c>
      <c r="B461" s="103">
        <v>806</v>
      </c>
      <c r="C461" s="87" t="s">
        <v>40</v>
      </c>
      <c r="D461" s="87" t="s">
        <v>793</v>
      </c>
      <c r="E461" s="87" t="s">
        <v>799</v>
      </c>
      <c r="F461" s="87"/>
      <c r="G461" s="88">
        <f>SUM(G462)</f>
        <v>333.6</v>
      </c>
      <c r="H461" s="88">
        <f>SUM(H462)</f>
        <v>333.6</v>
      </c>
      <c r="I461" s="88">
        <f>SUM(I462)</f>
        <v>333.6</v>
      </c>
      <c r="J461" s="42"/>
      <c r="K461" s="35"/>
      <c r="L461" s="35"/>
      <c r="M461" s="36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</row>
    <row r="462" spans="1:29" ht="18.75" customHeight="1">
      <c r="A462" s="125" t="s">
        <v>140</v>
      </c>
      <c r="B462" s="103">
        <v>806</v>
      </c>
      <c r="C462" s="87" t="s">
        <v>40</v>
      </c>
      <c r="D462" s="87" t="s">
        <v>793</v>
      </c>
      <c r="E462" s="87" t="s">
        <v>799</v>
      </c>
      <c r="F462" s="87" t="s">
        <v>545</v>
      </c>
      <c r="G462" s="88">
        <v>333.6</v>
      </c>
      <c r="H462" s="88">
        <v>333.6</v>
      </c>
      <c r="I462" s="88">
        <v>333.6</v>
      </c>
      <c r="J462" s="42"/>
      <c r="K462" s="35"/>
      <c r="L462" s="35"/>
      <c r="M462" s="36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</row>
    <row r="463" spans="1:29" ht="19.5" customHeight="1">
      <c r="A463" s="131" t="s">
        <v>389</v>
      </c>
      <c r="B463" s="103">
        <v>806</v>
      </c>
      <c r="C463" s="87" t="s">
        <v>40</v>
      </c>
      <c r="D463" s="87" t="s">
        <v>793</v>
      </c>
      <c r="E463" s="87" t="s">
        <v>128</v>
      </c>
      <c r="F463" s="87"/>
      <c r="G463" s="88">
        <f>SUM(G464)</f>
        <v>107149.3</v>
      </c>
      <c r="H463" s="88">
        <f>SUM(H464)</f>
        <v>103984.7</v>
      </c>
      <c r="I463" s="88">
        <f>SUM(I464)</f>
        <v>104929.5</v>
      </c>
      <c r="J463" s="42"/>
      <c r="K463" s="35"/>
      <c r="L463" s="35"/>
      <c r="M463" s="36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</row>
    <row r="464" spans="1:29" ht="20.25" customHeight="1">
      <c r="A464" s="125" t="s">
        <v>140</v>
      </c>
      <c r="B464" s="103">
        <v>806</v>
      </c>
      <c r="C464" s="87" t="s">
        <v>40</v>
      </c>
      <c r="D464" s="87" t="s">
        <v>793</v>
      </c>
      <c r="E464" s="87" t="s">
        <v>128</v>
      </c>
      <c r="F464" s="87" t="s">
        <v>545</v>
      </c>
      <c r="G464" s="88">
        <v>107149.3</v>
      </c>
      <c r="H464" s="88">
        <v>103984.7</v>
      </c>
      <c r="I464" s="88">
        <v>104929.5</v>
      </c>
      <c r="J464" s="42"/>
      <c r="K464" s="35"/>
      <c r="L464" s="35"/>
      <c r="M464" s="36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</row>
    <row r="465" spans="1:29" ht="16.5">
      <c r="A465" s="132" t="s">
        <v>671</v>
      </c>
      <c r="B465" s="103">
        <v>806</v>
      </c>
      <c r="C465" s="87" t="s">
        <v>40</v>
      </c>
      <c r="D465" s="87" t="s">
        <v>793</v>
      </c>
      <c r="E465" s="87" t="s">
        <v>441</v>
      </c>
      <c r="F465" s="87"/>
      <c r="G465" s="88">
        <f aca="true" t="shared" si="46" ref="G465:I466">SUM(G466)</f>
        <v>19118</v>
      </c>
      <c r="H465" s="88">
        <f t="shared" si="46"/>
        <v>19127</v>
      </c>
      <c r="I465" s="88">
        <f t="shared" si="46"/>
        <v>0</v>
      </c>
      <c r="J465" s="42"/>
      <c r="K465" s="35"/>
      <c r="L465" s="35"/>
      <c r="M465" s="36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</row>
    <row r="466" spans="1:29" ht="50.25" customHeight="1">
      <c r="A466" s="125" t="s">
        <v>721</v>
      </c>
      <c r="B466" s="103">
        <v>806</v>
      </c>
      <c r="C466" s="87" t="s">
        <v>40</v>
      </c>
      <c r="D466" s="87" t="s">
        <v>793</v>
      </c>
      <c r="E466" s="87" t="s">
        <v>76</v>
      </c>
      <c r="F466" s="87"/>
      <c r="G466" s="88">
        <f t="shared" si="46"/>
        <v>19118</v>
      </c>
      <c r="H466" s="88">
        <f t="shared" si="46"/>
        <v>19127</v>
      </c>
      <c r="I466" s="88">
        <f t="shared" si="46"/>
        <v>0</v>
      </c>
      <c r="J466" s="42"/>
      <c r="K466" s="35"/>
      <c r="L466" s="35"/>
      <c r="M466" s="36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</row>
    <row r="467" spans="1:29" ht="18.75" customHeight="1">
      <c r="A467" s="125" t="s">
        <v>836</v>
      </c>
      <c r="B467" s="103">
        <v>806</v>
      </c>
      <c r="C467" s="87" t="s">
        <v>40</v>
      </c>
      <c r="D467" s="87" t="s">
        <v>793</v>
      </c>
      <c r="E467" s="87" t="s">
        <v>76</v>
      </c>
      <c r="F467" s="87" t="s">
        <v>545</v>
      </c>
      <c r="G467" s="88">
        <v>19118</v>
      </c>
      <c r="H467" s="88">
        <v>19127</v>
      </c>
      <c r="I467" s="88"/>
      <c r="J467" s="42"/>
      <c r="K467" s="35"/>
      <c r="L467" s="35"/>
      <c r="M467" s="36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</row>
    <row r="468" spans="1:29" ht="18" customHeight="1">
      <c r="A468" s="132" t="s">
        <v>672</v>
      </c>
      <c r="B468" s="103">
        <v>806</v>
      </c>
      <c r="C468" s="87" t="s">
        <v>40</v>
      </c>
      <c r="D468" s="87" t="s">
        <v>42</v>
      </c>
      <c r="E468" s="87"/>
      <c r="F468" s="87"/>
      <c r="G468" s="88">
        <f>SUM(G469)</f>
        <v>7488.099999999999</v>
      </c>
      <c r="H468" s="88">
        <f>SUM(H469)</f>
        <v>7526.7</v>
      </c>
      <c r="I468" s="88">
        <f>SUM(I469)</f>
        <v>7697.7</v>
      </c>
      <c r="J468" s="42"/>
      <c r="K468" s="35"/>
      <c r="L468" s="35"/>
      <c r="M468" s="36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</row>
    <row r="469" spans="1:29" s="48" customFormat="1" ht="19.5" customHeight="1">
      <c r="A469" s="131" t="s">
        <v>722</v>
      </c>
      <c r="B469" s="103">
        <v>806</v>
      </c>
      <c r="C469" s="87" t="s">
        <v>40</v>
      </c>
      <c r="D469" s="87" t="s">
        <v>42</v>
      </c>
      <c r="E469" s="87" t="s">
        <v>129</v>
      </c>
      <c r="F469" s="87"/>
      <c r="G469" s="88">
        <f>SUM(G470,G472)</f>
        <v>7488.099999999999</v>
      </c>
      <c r="H469" s="88">
        <f>SUM(H470,H472)</f>
        <v>7526.7</v>
      </c>
      <c r="I469" s="88">
        <f>SUM(I470,I472)</f>
        <v>7697.7</v>
      </c>
      <c r="J469" s="42"/>
      <c r="K469" s="35"/>
      <c r="L469" s="35"/>
      <c r="M469" s="36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</row>
    <row r="470" spans="1:29" s="49" customFormat="1" ht="18" customHeight="1">
      <c r="A470" s="131" t="s">
        <v>475</v>
      </c>
      <c r="B470" s="103">
        <v>806</v>
      </c>
      <c r="C470" s="87" t="s">
        <v>40</v>
      </c>
      <c r="D470" s="87" t="s">
        <v>42</v>
      </c>
      <c r="E470" s="87" t="s">
        <v>482</v>
      </c>
      <c r="F470" s="87"/>
      <c r="G470" s="88">
        <f>SUM(G471)</f>
        <v>219.7</v>
      </c>
      <c r="H470" s="88">
        <f>SUM(H471)</f>
        <v>219.7</v>
      </c>
      <c r="I470" s="88">
        <f>SUM(I471)</f>
        <v>219.7</v>
      </c>
      <c r="J470" s="42"/>
      <c r="K470" s="35"/>
      <c r="L470" s="35"/>
      <c r="M470" s="36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</row>
    <row r="471" spans="1:29" ht="18.75" customHeight="1">
      <c r="A471" s="125" t="s">
        <v>140</v>
      </c>
      <c r="B471" s="103">
        <v>806</v>
      </c>
      <c r="C471" s="87" t="s">
        <v>40</v>
      </c>
      <c r="D471" s="87" t="s">
        <v>42</v>
      </c>
      <c r="E471" s="87" t="s">
        <v>482</v>
      </c>
      <c r="F471" s="87" t="s">
        <v>545</v>
      </c>
      <c r="G471" s="88">
        <v>219.7</v>
      </c>
      <c r="H471" s="88">
        <v>219.7</v>
      </c>
      <c r="I471" s="88">
        <v>219.7</v>
      </c>
      <c r="J471" s="42"/>
      <c r="K471" s="35"/>
      <c r="L471" s="35"/>
      <c r="M471" s="36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</row>
    <row r="472" spans="1:29" ht="17.25" customHeight="1">
      <c r="A472" s="131" t="s">
        <v>389</v>
      </c>
      <c r="B472" s="103">
        <v>806</v>
      </c>
      <c r="C472" s="87" t="s">
        <v>40</v>
      </c>
      <c r="D472" s="87" t="s">
        <v>42</v>
      </c>
      <c r="E472" s="87" t="s">
        <v>130</v>
      </c>
      <c r="F472" s="87"/>
      <c r="G472" s="88">
        <f>SUM(G473)</f>
        <v>7268.4</v>
      </c>
      <c r="H472" s="88">
        <f>SUM(H473)</f>
        <v>7307</v>
      </c>
      <c r="I472" s="88">
        <f>SUM(I473)</f>
        <v>7478</v>
      </c>
      <c r="J472" s="42"/>
      <c r="K472" s="35"/>
      <c r="L472" s="35"/>
      <c r="M472" s="36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</row>
    <row r="473" spans="1:29" ht="18" customHeight="1">
      <c r="A473" s="125" t="s">
        <v>140</v>
      </c>
      <c r="B473" s="103">
        <v>806</v>
      </c>
      <c r="C473" s="87" t="s">
        <v>40</v>
      </c>
      <c r="D473" s="87" t="s">
        <v>42</v>
      </c>
      <c r="E473" s="87" t="s">
        <v>130</v>
      </c>
      <c r="F473" s="87" t="s">
        <v>545</v>
      </c>
      <c r="G473" s="88">
        <v>7268.4</v>
      </c>
      <c r="H473" s="88">
        <v>7307</v>
      </c>
      <c r="I473" s="88">
        <v>7478</v>
      </c>
      <c r="J473" s="42"/>
      <c r="K473" s="35"/>
      <c r="L473" s="35"/>
      <c r="M473" s="36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</row>
    <row r="474" spans="1:29" ht="21.75" customHeight="1">
      <c r="A474" s="132" t="s">
        <v>489</v>
      </c>
      <c r="B474" s="103">
        <v>806</v>
      </c>
      <c r="C474" s="87" t="s">
        <v>40</v>
      </c>
      <c r="D474" s="87" t="s">
        <v>40</v>
      </c>
      <c r="E474" s="87"/>
      <c r="F474" s="87"/>
      <c r="G474" s="88">
        <f>SUM(G475,G478,G483,G492,G497,G490)</f>
        <v>31336.800000000003</v>
      </c>
      <c r="H474" s="88">
        <f>SUM(H475,H478,H483,H492,H497,H490)</f>
        <v>35146.5</v>
      </c>
      <c r="I474" s="88">
        <f>SUM(I475,I478,I483,I492,I497,I490)</f>
        <v>33032.700000000004</v>
      </c>
      <c r="J474" s="42"/>
      <c r="K474" s="35"/>
      <c r="L474" s="35"/>
      <c r="M474" s="36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</row>
    <row r="475" spans="1:29" ht="49.5" customHeight="1">
      <c r="A475" s="125" t="s">
        <v>26</v>
      </c>
      <c r="B475" s="103">
        <v>806</v>
      </c>
      <c r="C475" s="87" t="s">
        <v>40</v>
      </c>
      <c r="D475" s="87" t="s">
        <v>40</v>
      </c>
      <c r="E475" s="87" t="s">
        <v>27</v>
      </c>
      <c r="F475" s="87"/>
      <c r="G475" s="88">
        <f aca="true" t="shared" si="47" ref="G475:I476">SUM(G476)</f>
        <v>8910.5</v>
      </c>
      <c r="H475" s="88">
        <f t="shared" si="47"/>
        <v>8928.699999999999</v>
      </c>
      <c r="I475" s="88">
        <f t="shared" si="47"/>
        <v>8945.8</v>
      </c>
      <c r="J475" s="42"/>
      <c r="K475" s="35"/>
      <c r="L475" s="35"/>
      <c r="M475" s="36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</row>
    <row r="476" spans="1:29" ht="19.5" customHeight="1">
      <c r="A476" s="125" t="s">
        <v>31</v>
      </c>
      <c r="B476" s="103">
        <v>806</v>
      </c>
      <c r="C476" s="87" t="s">
        <v>40</v>
      </c>
      <c r="D476" s="87" t="s">
        <v>40</v>
      </c>
      <c r="E476" s="87" t="s">
        <v>29</v>
      </c>
      <c r="F476" s="87"/>
      <c r="G476" s="88">
        <f t="shared" si="47"/>
        <v>8910.5</v>
      </c>
      <c r="H476" s="88">
        <f t="shared" si="47"/>
        <v>8928.699999999999</v>
      </c>
      <c r="I476" s="88">
        <f t="shared" si="47"/>
        <v>8945.8</v>
      </c>
      <c r="J476" s="42"/>
      <c r="K476" s="35"/>
      <c r="L476" s="35"/>
      <c r="M476" s="36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</row>
    <row r="477" spans="1:29" ht="19.5" customHeight="1">
      <c r="A477" s="124" t="s">
        <v>690</v>
      </c>
      <c r="B477" s="103">
        <v>806</v>
      </c>
      <c r="C477" s="87" t="s">
        <v>40</v>
      </c>
      <c r="D477" s="87" t="s">
        <v>40</v>
      </c>
      <c r="E477" s="87" t="s">
        <v>29</v>
      </c>
      <c r="F477" s="87" t="s">
        <v>197</v>
      </c>
      <c r="G477" s="88">
        <f>8001.7+908.8</f>
        <v>8910.5</v>
      </c>
      <c r="H477" s="88">
        <f>8019.9+908.8</f>
        <v>8928.699999999999</v>
      </c>
      <c r="I477" s="88">
        <f>8037+908.8</f>
        <v>8945.8</v>
      </c>
      <c r="J477" s="42"/>
      <c r="K477" s="35"/>
      <c r="L477" s="35"/>
      <c r="M477" s="36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</row>
    <row r="478" spans="1:29" ht="54" customHeight="1">
      <c r="A478" s="125" t="s">
        <v>823</v>
      </c>
      <c r="B478" s="103">
        <v>806</v>
      </c>
      <c r="C478" s="87" t="s">
        <v>40</v>
      </c>
      <c r="D478" s="87" t="s">
        <v>40</v>
      </c>
      <c r="E478" s="87" t="s">
        <v>532</v>
      </c>
      <c r="F478" s="87"/>
      <c r="G478" s="88">
        <f>SUM(G479,G481)</f>
        <v>10283.2</v>
      </c>
      <c r="H478" s="88">
        <f>SUM(H479,H481)</f>
        <v>10232.2</v>
      </c>
      <c r="I478" s="88">
        <f>SUM(I479,I481)</f>
        <v>10284.2</v>
      </c>
      <c r="J478" s="42"/>
      <c r="K478" s="35"/>
      <c r="L478" s="35"/>
      <c r="M478" s="36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</row>
    <row r="479" spans="1:29" ht="18" customHeight="1" hidden="1">
      <c r="A479" s="131" t="s">
        <v>475</v>
      </c>
      <c r="B479" s="103">
        <v>806</v>
      </c>
      <c r="C479" s="87" t="s">
        <v>40</v>
      </c>
      <c r="D479" s="87" t="s">
        <v>40</v>
      </c>
      <c r="E479" s="87" t="s">
        <v>479</v>
      </c>
      <c r="F479" s="87"/>
      <c r="G479" s="88">
        <f>SUM(G480)</f>
        <v>0</v>
      </c>
      <c r="H479" s="88">
        <f>SUM(H480)</f>
        <v>0</v>
      </c>
      <c r="I479" s="88">
        <f>SUM(I480)</f>
        <v>0</v>
      </c>
      <c r="J479" s="42"/>
      <c r="K479" s="35"/>
      <c r="L479" s="35"/>
      <c r="M479" s="36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</row>
    <row r="480" spans="1:29" ht="19.5" customHeight="1" hidden="1">
      <c r="A480" s="125" t="s">
        <v>836</v>
      </c>
      <c r="B480" s="103">
        <v>806</v>
      </c>
      <c r="C480" s="87" t="s">
        <v>40</v>
      </c>
      <c r="D480" s="87" t="s">
        <v>40</v>
      </c>
      <c r="E480" s="87" t="s">
        <v>479</v>
      </c>
      <c r="F480" s="87" t="s">
        <v>545</v>
      </c>
      <c r="G480" s="88"/>
      <c r="H480" s="88"/>
      <c r="I480" s="88"/>
      <c r="J480" s="42"/>
      <c r="K480" s="35"/>
      <c r="L480" s="35"/>
      <c r="M480" s="36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</row>
    <row r="481" spans="1:29" ht="19.5" customHeight="1">
      <c r="A481" s="131" t="s">
        <v>389</v>
      </c>
      <c r="B481" s="103">
        <v>806</v>
      </c>
      <c r="C481" s="87" t="s">
        <v>40</v>
      </c>
      <c r="D481" s="87" t="s">
        <v>40</v>
      </c>
      <c r="E481" s="87" t="s">
        <v>533</v>
      </c>
      <c r="F481" s="87"/>
      <c r="G481" s="88">
        <f>SUM(G482)</f>
        <v>10283.2</v>
      </c>
      <c r="H481" s="88">
        <f>SUM(H482)</f>
        <v>10232.2</v>
      </c>
      <c r="I481" s="88">
        <f>SUM(I482)</f>
        <v>10284.2</v>
      </c>
      <c r="J481" s="42"/>
      <c r="K481" s="35"/>
      <c r="L481" s="35"/>
      <c r="M481" s="36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</row>
    <row r="482" spans="1:29" s="48" customFormat="1" ht="20.25" customHeight="1">
      <c r="A482" s="125" t="s">
        <v>140</v>
      </c>
      <c r="B482" s="103">
        <v>806</v>
      </c>
      <c r="C482" s="87" t="s">
        <v>40</v>
      </c>
      <c r="D482" s="87" t="s">
        <v>40</v>
      </c>
      <c r="E482" s="87" t="s">
        <v>533</v>
      </c>
      <c r="F482" s="87" t="s">
        <v>545</v>
      </c>
      <c r="G482" s="88">
        <v>10283.2</v>
      </c>
      <c r="H482" s="88">
        <v>10232.2</v>
      </c>
      <c r="I482" s="88">
        <v>10284.2</v>
      </c>
      <c r="J482" s="42"/>
      <c r="K482" s="35"/>
      <c r="L482" s="35"/>
      <c r="M482" s="36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</row>
    <row r="483" spans="1:29" s="49" customFormat="1" ht="34.5" customHeight="1">
      <c r="A483" s="131" t="s">
        <v>675</v>
      </c>
      <c r="B483" s="103">
        <v>806</v>
      </c>
      <c r="C483" s="87" t="s">
        <v>40</v>
      </c>
      <c r="D483" s="87" t="s">
        <v>40</v>
      </c>
      <c r="E483" s="87" t="s">
        <v>131</v>
      </c>
      <c r="F483" s="87"/>
      <c r="G483" s="88">
        <f>SUM(G484,G486)</f>
        <v>1581</v>
      </c>
      <c r="H483" s="88">
        <f>SUM(H484,H486)</f>
        <v>1614.8</v>
      </c>
      <c r="I483" s="88">
        <f>SUM(I484,I486)</f>
        <v>1648.7</v>
      </c>
      <c r="J483" s="42"/>
      <c r="K483" s="35"/>
      <c r="L483" s="35"/>
      <c r="M483" s="36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</row>
    <row r="484" spans="1:29" ht="19.5" customHeight="1" hidden="1">
      <c r="A484" s="131" t="s">
        <v>475</v>
      </c>
      <c r="B484" s="103">
        <v>806</v>
      </c>
      <c r="C484" s="87" t="s">
        <v>40</v>
      </c>
      <c r="D484" s="87" t="s">
        <v>40</v>
      </c>
      <c r="E484" s="87" t="s">
        <v>483</v>
      </c>
      <c r="F484" s="87"/>
      <c r="G484" s="88">
        <f>SUM(G485)</f>
        <v>0</v>
      </c>
      <c r="H484" s="88">
        <f>SUM(H485)</f>
        <v>0</v>
      </c>
      <c r="I484" s="88">
        <f>SUM(I485)</f>
        <v>0</v>
      </c>
      <c r="J484" s="42"/>
      <c r="K484" s="35"/>
      <c r="L484" s="35"/>
      <c r="M484" s="36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</row>
    <row r="485" spans="1:29" ht="16.5" hidden="1">
      <c r="A485" s="125" t="s">
        <v>836</v>
      </c>
      <c r="B485" s="103">
        <v>806</v>
      </c>
      <c r="C485" s="87" t="s">
        <v>40</v>
      </c>
      <c r="D485" s="87" t="s">
        <v>40</v>
      </c>
      <c r="E485" s="87" t="s">
        <v>483</v>
      </c>
      <c r="F485" s="87" t="s">
        <v>545</v>
      </c>
      <c r="G485" s="88"/>
      <c r="H485" s="88"/>
      <c r="I485" s="88"/>
      <c r="J485" s="42"/>
      <c r="K485" s="35"/>
      <c r="L485" s="35"/>
      <c r="M485" s="36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</row>
    <row r="486" spans="1:29" ht="18" customHeight="1">
      <c r="A486" s="131" t="s">
        <v>389</v>
      </c>
      <c r="B486" s="103">
        <v>806</v>
      </c>
      <c r="C486" s="87" t="s">
        <v>40</v>
      </c>
      <c r="D486" s="87" t="s">
        <v>40</v>
      </c>
      <c r="E486" s="87" t="s">
        <v>132</v>
      </c>
      <c r="F486" s="87"/>
      <c r="G486" s="88">
        <f>SUM(G487)</f>
        <v>1581</v>
      </c>
      <c r="H486" s="88">
        <f>SUM(H487)</f>
        <v>1614.8</v>
      </c>
      <c r="I486" s="88">
        <f>SUM(I487)</f>
        <v>1648.7</v>
      </c>
      <c r="J486" s="42"/>
      <c r="K486" s="35"/>
      <c r="L486" s="35"/>
      <c r="M486" s="36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</row>
    <row r="487" spans="1:29" ht="18.75" customHeight="1">
      <c r="A487" s="125" t="s">
        <v>140</v>
      </c>
      <c r="B487" s="103">
        <v>806</v>
      </c>
      <c r="C487" s="87" t="s">
        <v>40</v>
      </c>
      <c r="D487" s="87" t="s">
        <v>40</v>
      </c>
      <c r="E487" s="87" t="s">
        <v>132</v>
      </c>
      <c r="F487" s="87" t="s">
        <v>545</v>
      </c>
      <c r="G487" s="88">
        <v>1581</v>
      </c>
      <c r="H487" s="88">
        <v>1614.8</v>
      </c>
      <c r="I487" s="88">
        <v>1648.7</v>
      </c>
      <c r="J487" s="42"/>
      <c r="K487" s="35"/>
      <c r="L487" s="35"/>
      <c r="M487" s="36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</row>
    <row r="488" spans="1:29" ht="18.75" customHeight="1">
      <c r="A488" s="125" t="s">
        <v>676</v>
      </c>
      <c r="B488" s="103">
        <v>806</v>
      </c>
      <c r="C488" s="87" t="s">
        <v>40</v>
      </c>
      <c r="D488" s="87" t="s">
        <v>40</v>
      </c>
      <c r="E488" s="87" t="s">
        <v>330</v>
      </c>
      <c r="F488" s="87"/>
      <c r="G488" s="88">
        <f aca="true" t="shared" si="48" ref="G488:I490">G489</f>
        <v>3882.4</v>
      </c>
      <c r="H488" s="88">
        <f t="shared" si="48"/>
        <v>3882.4</v>
      </c>
      <c r="I488" s="88">
        <f t="shared" si="48"/>
        <v>3882.4</v>
      </c>
      <c r="J488" s="42"/>
      <c r="K488" s="35"/>
      <c r="L488" s="35"/>
      <c r="M488" s="36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</row>
    <row r="489" spans="1:29" ht="18.75" customHeight="1">
      <c r="A489" s="125" t="s">
        <v>683</v>
      </c>
      <c r="B489" s="103">
        <v>806</v>
      </c>
      <c r="C489" s="87" t="s">
        <v>40</v>
      </c>
      <c r="D489" s="87" t="s">
        <v>40</v>
      </c>
      <c r="E489" s="87" t="s">
        <v>424</v>
      </c>
      <c r="F489" s="87"/>
      <c r="G489" s="88">
        <f t="shared" si="48"/>
        <v>3882.4</v>
      </c>
      <c r="H489" s="88">
        <f t="shared" si="48"/>
        <v>3882.4</v>
      </c>
      <c r="I489" s="88">
        <f t="shared" si="48"/>
        <v>3882.4</v>
      </c>
      <c r="J489" s="42"/>
      <c r="K489" s="35"/>
      <c r="L489" s="35"/>
      <c r="M489" s="36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</row>
    <row r="490" spans="1:29" ht="34.5" customHeight="1">
      <c r="A490" s="118" t="s">
        <v>577</v>
      </c>
      <c r="B490" s="103">
        <v>806</v>
      </c>
      <c r="C490" s="87" t="s">
        <v>40</v>
      </c>
      <c r="D490" s="87" t="s">
        <v>40</v>
      </c>
      <c r="E490" s="87" t="s">
        <v>423</v>
      </c>
      <c r="F490" s="87"/>
      <c r="G490" s="88">
        <f t="shared" si="48"/>
        <v>3882.4</v>
      </c>
      <c r="H490" s="88">
        <f t="shared" si="48"/>
        <v>3882.4</v>
      </c>
      <c r="I490" s="88">
        <f t="shared" si="48"/>
        <v>3882.4</v>
      </c>
      <c r="J490" s="42"/>
      <c r="K490" s="35"/>
      <c r="L490" s="35"/>
      <c r="M490" s="36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</row>
    <row r="491" spans="1:29" ht="34.5" customHeight="1">
      <c r="A491" s="125" t="s">
        <v>581</v>
      </c>
      <c r="B491" s="103">
        <v>806</v>
      </c>
      <c r="C491" s="87" t="s">
        <v>40</v>
      </c>
      <c r="D491" s="87" t="s">
        <v>40</v>
      </c>
      <c r="E491" s="87" t="s">
        <v>423</v>
      </c>
      <c r="F491" s="87" t="s">
        <v>257</v>
      </c>
      <c r="G491" s="88">
        <v>3882.4</v>
      </c>
      <c r="H491" s="88">
        <v>3882.4</v>
      </c>
      <c r="I491" s="88">
        <v>3882.4</v>
      </c>
      <c r="J491" s="42"/>
      <c r="K491" s="35"/>
      <c r="L491" s="35"/>
      <c r="M491" s="36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</row>
    <row r="492" spans="1:29" ht="18.75" customHeight="1">
      <c r="A492" s="124" t="s">
        <v>380</v>
      </c>
      <c r="B492" s="103">
        <v>806</v>
      </c>
      <c r="C492" s="87" t="s">
        <v>40</v>
      </c>
      <c r="D492" s="87" t="s">
        <v>40</v>
      </c>
      <c r="E492" s="87" t="s">
        <v>381</v>
      </c>
      <c r="F492" s="87"/>
      <c r="G492" s="88">
        <f>SUM(G495,G493)</f>
        <v>2500</v>
      </c>
      <c r="H492" s="88">
        <f>SUM(H495,H493)</f>
        <v>5756</v>
      </c>
      <c r="I492" s="88">
        <f>SUM(I495,I493)</f>
        <v>0</v>
      </c>
      <c r="J492" s="42"/>
      <c r="K492" s="35"/>
      <c r="L492" s="35"/>
      <c r="M492" s="36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</row>
    <row r="493" spans="1:29" ht="33.75" customHeight="1">
      <c r="A493" s="124" t="s">
        <v>680</v>
      </c>
      <c r="B493" s="103">
        <v>806</v>
      </c>
      <c r="C493" s="87" t="s">
        <v>40</v>
      </c>
      <c r="D493" s="87" t="s">
        <v>40</v>
      </c>
      <c r="E493" s="87" t="s">
        <v>425</v>
      </c>
      <c r="F493" s="87"/>
      <c r="G493" s="88">
        <f>G494</f>
        <v>0</v>
      </c>
      <c r="H493" s="88">
        <f>H494</f>
        <v>3056</v>
      </c>
      <c r="I493" s="88">
        <f>I494</f>
        <v>0</v>
      </c>
      <c r="J493" s="42"/>
      <c r="K493" s="35"/>
      <c r="L493" s="35"/>
      <c r="M493" s="36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</row>
    <row r="494" spans="1:29" ht="34.5" customHeight="1">
      <c r="A494" s="125" t="s">
        <v>581</v>
      </c>
      <c r="B494" s="103">
        <v>806</v>
      </c>
      <c r="C494" s="87" t="s">
        <v>40</v>
      </c>
      <c r="D494" s="87" t="s">
        <v>40</v>
      </c>
      <c r="E494" s="87" t="s">
        <v>425</v>
      </c>
      <c r="F494" s="87" t="s">
        <v>257</v>
      </c>
      <c r="G494" s="88"/>
      <c r="H494" s="88">
        <v>3056</v>
      </c>
      <c r="I494" s="88"/>
      <c r="J494" s="42"/>
      <c r="K494" s="35"/>
      <c r="L494" s="35"/>
      <c r="M494" s="36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</row>
    <row r="495" spans="1:29" ht="35.25" customHeight="1">
      <c r="A495" s="118" t="s">
        <v>816</v>
      </c>
      <c r="B495" s="103">
        <v>806</v>
      </c>
      <c r="C495" s="87" t="s">
        <v>40</v>
      </c>
      <c r="D495" s="87" t="s">
        <v>40</v>
      </c>
      <c r="E495" s="87" t="s">
        <v>77</v>
      </c>
      <c r="F495" s="87"/>
      <c r="G495" s="88">
        <f>SUM(G496)</f>
        <v>2500</v>
      </c>
      <c r="H495" s="88">
        <f>SUM(H496)</f>
        <v>2700</v>
      </c>
      <c r="I495" s="88">
        <f>SUM(I496)</f>
        <v>0</v>
      </c>
      <c r="J495" s="42"/>
      <c r="K495" s="35"/>
      <c r="L495" s="35"/>
      <c r="M495" s="36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</row>
    <row r="496" spans="1:29" ht="33" customHeight="1">
      <c r="A496" s="125" t="s">
        <v>581</v>
      </c>
      <c r="B496" s="103">
        <v>806</v>
      </c>
      <c r="C496" s="87" t="s">
        <v>40</v>
      </c>
      <c r="D496" s="87" t="s">
        <v>40</v>
      </c>
      <c r="E496" s="87" t="s">
        <v>77</v>
      </c>
      <c r="F496" s="87" t="s">
        <v>257</v>
      </c>
      <c r="G496" s="88">
        <v>2500</v>
      </c>
      <c r="H496" s="88">
        <v>2700</v>
      </c>
      <c r="I496" s="88"/>
      <c r="J496" s="42"/>
      <c r="K496" s="35"/>
      <c r="L496" s="35"/>
      <c r="M496" s="36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</row>
    <row r="497" spans="1:29" ht="20.25" customHeight="1">
      <c r="A497" s="140" t="s">
        <v>349</v>
      </c>
      <c r="B497" s="103">
        <v>806</v>
      </c>
      <c r="C497" s="87" t="s">
        <v>40</v>
      </c>
      <c r="D497" s="87" t="s">
        <v>40</v>
      </c>
      <c r="E497" s="87" t="s">
        <v>343</v>
      </c>
      <c r="F497" s="87"/>
      <c r="G497" s="88">
        <f>G498</f>
        <v>4179.7</v>
      </c>
      <c r="H497" s="88">
        <f>H498</f>
        <v>4732.400000000001</v>
      </c>
      <c r="I497" s="88">
        <f>I498</f>
        <v>8271.6</v>
      </c>
      <c r="J497" s="42"/>
      <c r="K497" s="35"/>
      <c r="L497" s="35"/>
      <c r="M497" s="36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</row>
    <row r="498" spans="1:29" ht="20.25" customHeight="1">
      <c r="A498" s="140" t="s">
        <v>380</v>
      </c>
      <c r="B498" s="103">
        <v>806</v>
      </c>
      <c r="C498" s="87" t="s">
        <v>40</v>
      </c>
      <c r="D498" s="87" t="s">
        <v>40</v>
      </c>
      <c r="E498" s="87" t="s">
        <v>344</v>
      </c>
      <c r="F498" s="87"/>
      <c r="G498" s="88">
        <f>G499+G501</f>
        <v>4179.7</v>
      </c>
      <c r="H498" s="88">
        <f>H499+H501</f>
        <v>4732.400000000001</v>
      </c>
      <c r="I498" s="88">
        <f>I499+I501</f>
        <v>8271.6</v>
      </c>
      <c r="J498" s="42"/>
      <c r="K498" s="35"/>
      <c r="L498" s="35"/>
      <c r="M498" s="36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</row>
    <row r="499" spans="1:29" ht="21.75" customHeight="1">
      <c r="A499" s="131" t="s">
        <v>198</v>
      </c>
      <c r="B499" s="103">
        <v>806</v>
      </c>
      <c r="C499" s="87" t="s">
        <v>40</v>
      </c>
      <c r="D499" s="87" t="s">
        <v>40</v>
      </c>
      <c r="E499" s="87" t="s">
        <v>354</v>
      </c>
      <c r="F499" s="87"/>
      <c r="G499" s="88">
        <f>SUM(G500)</f>
        <v>629.3</v>
      </c>
      <c r="H499" s="88">
        <f>SUM(H500)</f>
        <v>707.6</v>
      </c>
      <c r="I499" s="88">
        <f>SUM(I500)</f>
        <v>1167.6</v>
      </c>
      <c r="J499" s="42"/>
      <c r="K499" s="35"/>
      <c r="L499" s="35"/>
      <c r="M499" s="36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</row>
    <row r="500" spans="1:29" ht="21.75" customHeight="1">
      <c r="A500" s="132" t="s">
        <v>215</v>
      </c>
      <c r="B500" s="103">
        <v>806</v>
      </c>
      <c r="C500" s="87" t="s">
        <v>40</v>
      </c>
      <c r="D500" s="87" t="s">
        <v>40</v>
      </c>
      <c r="E500" s="87" t="s">
        <v>354</v>
      </c>
      <c r="F500" s="87" t="s">
        <v>257</v>
      </c>
      <c r="G500" s="88">
        <v>629.3</v>
      </c>
      <c r="H500" s="88">
        <v>707.6</v>
      </c>
      <c r="I500" s="88">
        <v>1167.6</v>
      </c>
      <c r="J500" s="42"/>
      <c r="K500" s="35"/>
      <c r="L500" s="35"/>
      <c r="M500" s="36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</row>
    <row r="501" spans="1:29" ht="17.25" customHeight="1">
      <c r="A501" s="131" t="s">
        <v>779</v>
      </c>
      <c r="B501" s="103">
        <v>806</v>
      </c>
      <c r="C501" s="87" t="s">
        <v>40</v>
      </c>
      <c r="D501" s="87" t="s">
        <v>40</v>
      </c>
      <c r="E501" s="87" t="s">
        <v>350</v>
      </c>
      <c r="F501" s="87"/>
      <c r="G501" s="88">
        <f>SUM(G502)</f>
        <v>3550.4</v>
      </c>
      <c r="H501" s="88">
        <f>SUM(H502)</f>
        <v>4024.8</v>
      </c>
      <c r="I501" s="88">
        <f>SUM(I502)</f>
        <v>7104</v>
      </c>
      <c r="J501" s="42"/>
      <c r="K501" s="35"/>
      <c r="L501" s="35"/>
      <c r="M501" s="36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</row>
    <row r="502" spans="1:29" ht="34.5" customHeight="1">
      <c r="A502" s="125" t="s">
        <v>581</v>
      </c>
      <c r="B502" s="103">
        <v>806</v>
      </c>
      <c r="C502" s="87" t="s">
        <v>40</v>
      </c>
      <c r="D502" s="87" t="s">
        <v>40</v>
      </c>
      <c r="E502" s="87" t="s">
        <v>350</v>
      </c>
      <c r="F502" s="87" t="s">
        <v>257</v>
      </c>
      <c r="G502" s="88">
        <v>3550.4</v>
      </c>
      <c r="H502" s="88">
        <v>4024.8</v>
      </c>
      <c r="I502" s="88">
        <v>7104</v>
      </c>
      <c r="J502" s="42"/>
      <c r="K502" s="35"/>
      <c r="L502" s="35"/>
      <c r="M502" s="36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</row>
    <row r="503" spans="1:29" ht="20.25" customHeight="1">
      <c r="A503" s="133" t="s">
        <v>88</v>
      </c>
      <c r="B503" s="103">
        <v>807</v>
      </c>
      <c r="C503" s="87"/>
      <c r="D503" s="87"/>
      <c r="E503" s="87"/>
      <c r="F503" s="87"/>
      <c r="G503" s="88">
        <f>SUM(G504,G523,G533,G538)</f>
        <v>94857.09999999999</v>
      </c>
      <c r="H503" s="88">
        <f>SUM(H504,H523,H533,H538)</f>
        <v>94240.6</v>
      </c>
      <c r="I503" s="88">
        <f>SUM(I504,I523,I533,I538)</f>
        <v>84454.8</v>
      </c>
      <c r="J503" s="42"/>
      <c r="K503" s="35"/>
      <c r="L503" s="35"/>
      <c r="M503" s="36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</row>
    <row r="504" spans="1:29" ht="19.5" customHeight="1">
      <c r="A504" s="141" t="s">
        <v>0</v>
      </c>
      <c r="B504" s="103">
        <v>807</v>
      </c>
      <c r="C504" s="87" t="s">
        <v>790</v>
      </c>
      <c r="D504" s="87"/>
      <c r="E504" s="87"/>
      <c r="F504" s="87"/>
      <c r="G504" s="88">
        <f>SUM(G505,G512,G516)</f>
        <v>67982.09999999999</v>
      </c>
      <c r="H504" s="88">
        <f>SUM(H505,H512,H516)</f>
        <v>76550.6</v>
      </c>
      <c r="I504" s="88">
        <f>SUM(I505,I512,I516)</f>
        <v>76561.8</v>
      </c>
      <c r="J504" s="42"/>
      <c r="K504" s="35"/>
      <c r="L504" s="35"/>
      <c r="M504" s="36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</row>
    <row r="505" spans="1:29" ht="36.75" customHeight="1">
      <c r="A505" s="131" t="s">
        <v>598</v>
      </c>
      <c r="B505" s="103">
        <v>807</v>
      </c>
      <c r="C505" s="87" t="s">
        <v>790</v>
      </c>
      <c r="D505" s="87" t="s">
        <v>794</v>
      </c>
      <c r="E505" s="87"/>
      <c r="F505" s="87"/>
      <c r="G505" s="88">
        <f>SUM(G506,G509)</f>
        <v>26238.7</v>
      </c>
      <c r="H505" s="88">
        <f>SUM(H506,H509)</f>
        <v>26250.6</v>
      </c>
      <c r="I505" s="88">
        <f>SUM(I506,I509)</f>
        <v>26261.8</v>
      </c>
      <c r="J505" s="42"/>
      <c r="K505" s="35"/>
      <c r="L505" s="35"/>
      <c r="M505" s="36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</row>
    <row r="506" spans="1:29" ht="48.75" customHeight="1">
      <c r="A506" s="125" t="s">
        <v>26</v>
      </c>
      <c r="B506" s="103">
        <v>807</v>
      </c>
      <c r="C506" s="87" t="s">
        <v>790</v>
      </c>
      <c r="D506" s="87" t="s">
        <v>794</v>
      </c>
      <c r="E506" s="87" t="s">
        <v>27</v>
      </c>
      <c r="F506" s="87"/>
      <c r="G506" s="88">
        <f aca="true" t="shared" si="49" ref="G506:I507">SUM(G507)</f>
        <v>25995.3</v>
      </c>
      <c r="H506" s="88">
        <f t="shared" si="49"/>
        <v>26020.1</v>
      </c>
      <c r="I506" s="88">
        <f t="shared" si="49"/>
        <v>26031.3</v>
      </c>
      <c r="J506" s="42"/>
      <c r="K506" s="35"/>
      <c r="L506" s="35"/>
      <c r="M506" s="36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</row>
    <row r="507" spans="1:29" ht="18.75" customHeight="1">
      <c r="A507" s="125" t="s">
        <v>31</v>
      </c>
      <c r="B507" s="103">
        <v>807</v>
      </c>
      <c r="C507" s="87" t="s">
        <v>790</v>
      </c>
      <c r="D507" s="87" t="s">
        <v>794</v>
      </c>
      <c r="E507" s="87" t="s">
        <v>29</v>
      </c>
      <c r="F507" s="87"/>
      <c r="G507" s="88">
        <f t="shared" si="49"/>
        <v>25995.3</v>
      </c>
      <c r="H507" s="88">
        <f t="shared" si="49"/>
        <v>26020.1</v>
      </c>
      <c r="I507" s="88">
        <f t="shared" si="49"/>
        <v>26031.3</v>
      </c>
      <c r="J507" s="42"/>
      <c r="K507" s="35"/>
      <c r="L507" s="35"/>
      <c r="M507" s="36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</row>
    <row r="508" spans="1:29" ht="18.75" customHeight="1">
      <c r="A508" s="124" t="s">
        <v>346</v>
      </c>
      <c r="B508" s="103">
        <v>807</v>
      </c>
      <c r="C508" s="87" t="s">
        <v>790</v>
      </c>
      <c r="D508" s="87" t="s">
        <v>794</v>
      </c>
      <c r="E508" s="87" t="s">
        <v>29</v>
      </c>
      <c r="F508" s="87" t="s">
        <v>197</v>
      </c>
      <c r="G508" s="88">
        <f>24820.6+1174.7</f>
        <v>25995.3</v>
      </c>
      <c r="H508" s="88">
        <f>24832.5+1187.6</f>
        <v>26020.1</v>
      </c>
      <c r="I508" s="88">
        <f>24843.7+1187.6</f>
        <v>26031.3</v>
      </c>
      <c r="J508" s="42"/>
      <c r="K508" s="35"/>
      <c r="L508" s="35"/>
      <c r="M508" s="36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</row>
    <row r="509" spans="1:29" ht="18.75" customHeight="1">
      <c r="A509" s="124" t="s">
        <v>14</v>
      </c>
      <c r="B509" s="103">
        <v>807</v>
      </c>
      <c r="C509" s="87" t="s">
        <v>790</v>
      </c>
      <c r="D509" s="87" t="s">
        <v>794</v>
      </c>
      <c r="E509" s="87" t="s">
        <v>15</v>
      </c>
      <c r="F509" s="87"/>
      <c r="G509" s="88">
        <f aca="true" t="shared" si="50" ref="G509:I510">G510</f>
        <v>243.4</v>
      </c>
      <c r="H509" s="88">
        <f t="shared" si="50"/>
        <v>230.5</v>
      </c>
      <c r="I509" s="88">
        <f t="shared" si="50"/>
        <v>230.5</v>
      </c>
      <c r="J509" s="42"/>
      <c r="K509" s="35"/>
      <c r="L509" s="35"/>
      <c r="M509" s="36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</row>
    <row r="510" spans="1:29" ht="37.5" customHeight="1">
      <c r="A510" s="128" t="s">
        <v>817</v>
      </c>
      <c r="B510" s="103">
        <v>807</v>
      </c>
      <c r="C510" s="87" t="s">
        <v>790</v>
      </c>
      <c r="D510" s="87" t="s">
        <v>794</v>
      </c>
      <c r="E510" s="87" t="s">
        <v>333</v>
      </c>
      <c r="F510" s="87"/>
      <c r="G510" s="88">
        <f t="shared" si="50"/>
        <v>243.4</v>
      </c>
      <c r="H510" s="88">
        <f t="shared" si="50"/>
        <v>230.5</v>
      </c>
      <c r="I510" s="88">
        <f t="shared" si="50"/>
        <v>230.5</v>
      </c>
      <c r="J510" s="42"/>
      <c r="K510" s="35"/>
      <c r="L510" s="35"/>
      <c r="M510" s="36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</row>
    <row r="511" spans="1:29" ht="18.75" customHeight="1">
      <c r="A511" s="128" t="s">
        <v>134</v>
      </c>
      <c r="B511" s="103">
        <v>807</v>
      </c>
      <c r="C511" s="87" t="s">
        <v>790</v>
      </c>
      <c r="D511" s="87" t="s">
        <v>794</v>
      </c>
      <c r="E511" s="87" t="s">
        <v>333</v>
      </c>
      <c r="F511" s="87" t="s">
        <v>195</v>
      </c>
      <c r="G511" s="88">
        <v>243.4</v>
      </c>
      <c r="H511" s="88">
        <v>230.5</v>
      </c>
      <c r="I511" s="88">
        <v>230.5</v>
      </c>
      <c r="J511" s="42"/>
      <c r="K511" s="35"/>
      <c r="L511" s="35"/>
      <c r="M511" s="36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</row>
    <row r="512" spans="1:29" ht="20.25" customHeight="1">
      <c r="A512" s="131" t="s">
        <v>192</v>
      </c>
      <c r="B512" s="103">
        <v>807</v>
      </c>
      <c r="C512" s="87" t="s">
        <v>790</v>
      </c>
      <c r="D512" s="87" t="s">
        <v>45</v>
      </c>
      <c r="E512" s="87"/>
      <c r="F512" s="87"/>
      <c r="G512" s="88">
        <f>SUM(G513)</f>
        <v>41443.399999999994</v>
      </c>
      <c r="H512" s="88">
        <f aca="true" t="shared" si="51" ref="H512:I514">SUM(H513)</f>
        <v>50000</v>
      </c>
      <c r="I512" s="88">
        <f t="shared" si="51"/>
        <v>50000</v>
      </c>
      <c r="J512" s="42"/>
      <c r="K512" s="35"/>
      <c r="L512" s="35"/>
      <c r="M512" s="36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</row>
    <row r="513" spans="1:29" ht="18.75" customHeight="1">
      <c r="A513" s="131" t="s">
        <v>303</v>
      </c>
      <c r="B513" s="103">
        <v>807</v>
      </c>
      <c r="C513" s="87" t="s">
        <v>790</v>
      </c>
      <c r="D513" s="87" t="s">
        <v>45</v>
      </c>
      <c r="E513" s="87" t="s">
        <v>302</v>
      </c>
      <c r="F513" s="87"/>
      <c r="G513" s="88">
        <f>SUM(G514)</f>
        <v>41443.399999999994</v>
      </c>
      <c r="H513" s="88">
        <f t="shared" si="51"/>
        <v>50000</v>
      </c>
      <c r="I513" s="88">
        <f t="shared" si="51"/>
        <v>50000</v>
      </c>
      <c r="J513" s="42"/>
      <c r="K513" s="35"/>
      <c r="L513" s="35"/>
      <c r="M513" s="36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</row>
    <row r="514" spans="1:29" ht="19.5" customHeight="1">
      <c r="A514" s="131" t="s">
        <v>514</v>
      </c>
      <c r="B514" s="103">
        <v>807</v>
      </c>
      <c r="C514" s="87" t="s">
        <v>790</v>
      </c>
      <c r="D514" s="87" t="s">
        <v>45</v>
      </c>
      <c r="E514" s="87" t="s">
        <v>515</v>
      </c>
      <c r="F514" s="87"/>
      <c r="G514" s="88">
        <f>SUM(G515)</f>
        <v>41443.399999999994</v>
      </c>
      <c r="H514" s="88">
        <f t="shared" si="51"/>
        <v>50000</v>
      </c>
      <c r="I514" s="88">
        <f t="shared" si="51"/>
        <v>50000</v>
      </c>
      <c r="J514" s="42"/>
      <c r="K514" s="35"/>
      <c r="L514" s="35"/>
      <c r="M514" s="36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</row>
    <row r="515" spans="1:29" ht="19.5" customHeight="1">
      <c r="A515" s="131" t="s">
        <v>537</v>
      </c>
      <c r="B515" s="103">
        <v>807</v>
      </c>
      <c r="C515" s="87" t="s">
        <v>790</v>
      </c>
      <c r="D515" s="87" t="s">
        <v>45</v>
      </c>
      <c r="E515" s="87" t="s">
        <v>515</v>
      </c>
      <c r="F515" s="87" t="s">
        <v>536</v>
      </c>
      <c r="G515" s="88">
        <f>18005.1+7742.6+921.8+375.2+14352.6+46.1</f>
        <v>41443.399999999994</v>
      </c>
      <c r="H515" s="88">
        <f>50000</f>
        <v>50000</v>
      </c>
      <c r="I515" s="88">
        <f>50000</f>
        <v>50000</v>
      </c>
      <c r="J515" s="42"/>
      <c r="K515" s="35"/>
      <c r="L515" s="35"/>
      <c r="M515" s="36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</row>
    <row r="516" spans="1:29" ht="18.75" customHeight="1">
      <c r="A516" s="131" t="s">
        <v>305</v>
      </c>
      <c r="B516" s="103">
        <v>807</v>
      </c>
      <c r="C516" s="87" t="s">
        <v>790</v>
      </c>
      <c r="D516" s="87" t="s">
        <v>487</v>
      </c>
      <c r="E516" s="87"/>
      <c r="F516" s="87"/>
      <c r="G516" s="88">
        <f>SUM(G517,G520)</f>
        <v>300</v>
      </c>
      <c r="H516" s="88">
        <f>SUM(H517,H520)</f>
        <v>300</v>
      </c>
      <c r="I516" s="88">
        <f>SUM(I517,I520)</f>
        <v>300</v>
      </c>
      <c r="J516" s="42"/>
      <c r="K516" s="35"/>
      <c r="L516" s="35"/>
      <c r="M516" s="36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</row>
    <row r="517" spans="1:29" ht="19.5" customHeight="1">
      <c r="A517" s="140" t="s">
        <v>5</v>
      </c>
      <c r="B517" s="103">
        <v>807</v>
      </c>
      <c r="C517" s="87" t="s">
        <v>790</v>
      </c>
      <c r="D517" s="87" t="s">
        <v>487</v>
      </c>
      <c r="E517" s="87" t="s">
        <v>342</v>
      </c>
      <c r="F517" s="87"/>
      <c r="G517" s="88">
        <f>SUM(G519)</f>
        <v>300</v>
      </c>
      <c r="H517" s="88">
        <f>SUM(H519)</f>
        <v>300</v>
      </c>
      <c r="I517" s="88">
        <f>SUM(I519)</f>
        <v>300</v>
      </c>
      <c r="J517" s="42"/>
      <c r="K517" s="35"/>
      <c r="L517" s="35"/>
      <c r="M517" s="36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</row>
    <row r="518" spans="1:29" ht="18.75" customHeight="1">
      <c r="A518" s="125" t="s">
        <v>6</v>
      </c>
      <c r="B518" s="103">
        <v>807</v>
      </c>
      <c r="C518" s="87" t="s">
        <v>790</v>
      </c>
      <c r="D518" s="87" t="s">
        <v>487</v>
      </c>
      <c r="E518" s="87" t="s">
        <v>399</v>
      </c>
      <c r="F518" s="87"/>
      <c r="G518" s="88">
        <f>SUM(G519)</f>
        <v>300</v>
      </c>
      <c r="H518" s="88">
        <f>SUM(H519)</f>
        <v>300</v>
      </c>
      <c r="I518" s="88">
        <f>SUM(I519)</f>
        <v>300</v>
      </c>
      <c r="J518" s="42"/>
      <c r="K518" s="35"/>
      <c r="L518" s="35"/>
      <c r="M518" s="36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</row>
    <row r="519" spans="1:29" ht="18" customHeight="1">
      <c r="A519" s="124" t="s">
        <v>346</v>
      </c>
      <c r="B519" s="103">
        <v>807</v>
      </c>
      <c r="C519" s="87" t="s">
        <v>790</v>
      </c>
      <c r="D519" s="87" t="s">
        <v>487</v>
      </c>
      <c r="E519" s="87" t="s">
        <v>399</v>
      </c>
      <c r="F519" s="87" t="s">
        <v>197</v>
      </c>
      <c r="G519" s="88">
        <v>300</v>
      </c>
      <c r="H519" s="88">
        <v>300</v>
      </c>
      <c r="I519" s="88">
        <v>300</v>
      </c>
      <c r="J519" s="42"/>
      <c r="K519" s="35"/>
      <c r="L519" s="35"/>
      <c r="M519" s="36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</row>
    <row r="520" spans="1:29" ht="18" customHeight="1" hidden="1">
      <c r="A520" s="124" t="s">
        <v>14</v>
      </c>
      <c r="B520" s="103">
        <v>807</v>
      </c>
      <c r="C520" s="87" t="s">
        <v>790</v>
      </c>
      <c r="D520" s="87" t="s">
        <v>487</v>
      </c>
      <c r="E520" s="87" t="s">
        <v>15</v>
      </c>
      <c r="F520" s="87"/>
      <c r="G520" s="88">
        <f aca="true" t="shared" si="52" ref="G520:I521">G521</f>
        <v>0</v>
      </c>
      <c r="H520" s="88">
        <f t="shared" si="52"/>
        <v>0</v>
      </c>
      <c r="I520" s="88">
        <f t="shared" si="52"/>
        <v>0</v>
      </c>
      <c r="J520" s="42"/>
      <c r="K520" s="35"/>
      <c r="L520" s="35"/>
      <c r="M520" s="36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</row>
    <row r="521" spans="1:29" ht="32.25" customHeight="1" hidden="1">
      <c r="A521" s="128" t="s">
        <v>325</v>
      </c>
      <c r="B521" s="103">
        <v>807</v>
      </c>
      <c r="C521" s="87" t="s">
        <v>790</v>
      </c>
      <c r="D521" s="87" t="s">
        <v>487</v>
      </c>
      <c r="E521" s="87" t="s">
        <v>333</v>
      </c>
      <c r="F521" s="87"/>
      <c r="G521" s="88">
        <f t="shared" si="52"/>
        <v>0</v>
      </c>
      <c r="H521" s="88">
        <f t="shared" si="52"/>
        <v>0</v>
      </c>
      <c r="I521" s="88">
        <f t="shared" si="52"/>
        <v>0</v>
      </c>
      <c r="J521" s="42"/>
      <c r="K521" s="35"/>
      <c r="L521" s="35"/>
      <c r="M521" s="36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</row>
    <row r="522" spans="1:29" ht="18" customHeight="1" hidden="1">
      <c r="A522" s="128" t="s">
        <v>134</v>
      </c>
      <c r="B522" s="103">
        <v>807</v>
      </c>
      <c r="C522" s="87" t="s">
        <v>790</v>
      </c>
      <c r="D522" s="87" t="s">
        <v>487</v>
      </c>
      <c r="E522" s="87" t="s">
        <v>333</v>
      </c>
      <c r="F522" s="87" t="s">
        <v>195</v>
      </c>
      <c r="G522" s="88"/>
      <c r="H522" s="88"/>
      <c r="I522" s="88"/>
      <c r="J522" s="42"/>
      <c r="K522" s="35"/>
      <c r="L522" s="35"/>
      <c r="M522" s="36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</row>
    <row r="523" spans="1:29" ht="18" customHeight="1" hidden="1">
      <c r="A523" s="133" t="s">
        <v>418</v>
      </c>
      <c r="B523" s="103">
        <v>807</v>
      </c>
      <c r="C523" s="87" t="s">
        <v>793</v>
      </c>
      <c r="D523" s="87"/>
      <c r="E523" s="87"/>
      <c r="F523" s="87"/>
      <c r="G523" s="88">
        <f>G524</f>
        <v>0</v>
      </c>
      <c r="H523" s="88">
        <f>H524</f>
        <v>0</v>
      </c>
      <c r="I523" s="88">
        <f>I524</f>
        <v>0</v>
      </c>
      <c r="J523" s="42"/>
      <c r="K523" s="35"/>
      <c r="L523" s="35"/>
      <c r="M523" s="36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</row>
    <row r="524" spans="1:29" ht="18" customHeight="1" hidden="1">
      <c r="A524" s="124" t="s">
        <v>756</v>
      </c>
      <c r="B524" s="103">
        <v>807</v>
      </c>
      <c r="C524" s="87" t="s">
        <v>793</v>
      </c>
      <c r="D524" s="87" t="s">
        <v>790</v>
      </c>
      <c r="E524" s="87"/>
      <c r="F524" s="87"/>
      <c r="G524" s="88">
        <f>G525+G530</f>
        <v>0</v>
      </c>
      <c r="H524" s="88">
        <f>H525+H530</f>
        <v>0</v>
      </c>
      <c r="I524" s="88">
        <f>I525+I530</f>
        <v>0</v>
      </c>
      <c r="J524" s="42"/>
      <c r="K524" s="35"/>
      <c r="L524" s="35"/>
      <c r="M524" s="36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</row>
    <row r="525" spans="1:29" ht="18" customHeight="1" hidden="1">
      <c r="A525" s="124" t="s">
        <v>758</v>
      </c>
      <c r="B525" s="103">
        <v>807</v>
      </c>
      <c r="C525" s="87" t="s">
        <v>793</v>
      </c>
      <c r="D525" s="87" t="s">
        <v>790</v>
      </c>
      <c r="E525" s="87" t="s">
        <v>757</v>
      </c>
      <c r="F525" s="87"/>
      <c r="G525" s="88">
        <f>G526+G528</f>
        <v>0</v>
      </c>
      <c r="H525" s="88">
        <f>H526+H528</f>
        <v>0</v>
      </c>
      <c r="I525" s="88">
        <f>I526+I528</f>
        <v>0</v>
      </c>
      <c r="J525" s="42"/>
      <c r="K525" s="35"/>
      <c r="L525" s="35"/>
      <c r="M525" s="36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</row>
    <row r="526" spans="1:29" ht="18" customHeight="1" hidden="1">
      <c r="A526" s="124" t="s">
        <v>760</v>
      </c>
      <c r="B526" s="103">
        <v>807</v>
      </c>
      <c r="C526" s="87" t="s">
        <v>793</v>
      </c>
      <c r="D526" s="87" t="s">
        <v>790</v>
      </c>
      <c r="E526" s="87" t="s">
        <v>759</v>
      </c>
      <c r="F526" s="87"/>
      <c r="G526" s="88">
        <f>G527</f>
        <v>0</v>
      </c>
      <c r="H526" s="88">
        <f>H527</f>
        <v>0</v>
      </c>
      <c r="I526" s="88">
        <f>I527</f>
        <v>0</v>
      </c>
      <c r="J526" s="42"/>
      <c r="K526" s="35"/>
      <c r="L526" s="35"/>
      <c r="M526" s="36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</row>
    <row r="527" spans="1:29" ht="18" customHeight="1" hidden="1">
      <c r="A527" s="125" t="s">
        <v>836</v>
      </c>
      <c r="B527" s="103">
        <v>807</v>
      </c>
      <c r="C527" s="87" t="s">
        <v>793</v>
      </c>
      <c r="D527" s="87" t="s">
        <v>790</v>
      </c>
      <c r="E527" s="87" t="s">
        <v>759</v>
      </c>
      <c r="F527" s="87" t="s">
        <v>545</v>
      </c>
      <c r="G527" s="88"/>
      <c r="H527" s="88"/>
      <c r="I527" s="88"/>
      <c r="J527" s="42"/>
      <c r="K527" s="35"/>
      <c r="L527" s="35"/>
      <c r="M527" s="36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</row>
    <row r="528" spans="1:29" ht="37.5" customHeight="1" hidden="1">
      <c r="A528" s="125" t="s">
        <v>571</v>
      </c>
      <c r="B528" s="103">
        <v>807</v>
      </c>
      <c r="C528" s="87" t="s">
        <v>793</v>
      </c>
      <c r="D528" s="87" t="s">
        <v>790</v>
      </c>
      <c r="E528" s="87" t="s">
        <v>567</v>
      </c>
      <c r="F528" s="87"/>
      <c r="G528" s="88">
        <f>SUM(G529)</f>
        <v>0</v>
      </c>
      <c r="H528" s="88">
        <f>SUM(H529)</f>
        <v>0</v>
      </c>
      <c r="I528" s="88">
        <f>SUM(I529)</f>
        <v>0</v>
      </c>
      <c r="J528" s="42"/>
      <c r="K528" s="35"/>
      <c r="L528" s="35"/>
      <c r="M528" s="36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</row>
    <row r="529" spans="1:29" ht="18.75" customHeight="1" hidden="1">
      <c r="A529" s="125" t="s">
        <v>836</v>
      </c>
      <c r="B529" s="103">
        <v>807</v>
      </c>
      <c r="C529" s="87" t="s">
        <v>793</v>
      </c>
      <c r="D529" s="87" t="s">
        <v>790</v>
      </c>
      <c r="E529" s="87" t="s">
        <v>567</v>
      </c>
      <c r="F529" s="87" t="s">
        <v>545</v>
      </c>
      <c r="G529" s="88"/>
      <c r="H529" s="88"/>
      <c r="I529" s="88"/>
      <c r="J529" s="42"/>
      <c r="K529" s="35"/>
      <c r="L529" s="35"/>
      <c r="M529" s="36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</row>
    <row r="530" spans="1:29" ht="18.75" customHeight="1" hidden="1">
      <c r="A530" s="125" t="s">
        <v>277</v>
      </c>
      <c r="B530" s="103">
        <v>807</v>
      </c>
      <c r="C530" s="87" t="s">
        <v>793</v>
      </c>
      <c r="D530" s="87" t="s">
        <v>790</v>
      </c>
      <c r="E530" s="87" t="s">
        <v>381</v>
      </c>
      <c r="F530" s="87"/>
      <c r="G530" s="88">
        <f aca="true" t="shared" si="53" ref="G530:I531">SUM(G531)</f>
        <v>0</v>
      </c>
      <c r="H530" s="88">
        <f t="shared" si="53"/>
        <v>0</v>
      </c>
      <c r="I530" s="88">
        <f t="shared" si="53"/>
        <v>0</v>
      </c>
      <c r="J530" s="42"/>
      <c r="K530" s="35"/>
      <c r="L530" s="35"/>
      <c r="M530" s="36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</row>
    <row r="531" spans="1:29" ht="39" customHeight="1" hidden="1">
      <c r="A531" s="125" t="s">
        <v>569</v>
      </c>
      <c r="B531" s="103">
        <v>807</v>
      </c>
      <c r="C531" s="87" t="s">
        <v>793</v>
      </c>
      <c r="D531" s="87" t="s">
        <v>790</v>
      </c>
      <c r="E531" s="87" t="s">
        <v>572</v>
      </c>
      <c r="F531" s="87"/>
      <c r="G531" s="88">
        <f t="shared" si="53"/>
        <v>0</v>
      </c>
      <c r="H531" s="88">
        <f t="shared" si="53"/>
        <v>0</v>
      </c>
      <c r="I531" s="88">
        <f t="shared" si="53"/>
        <v>0</v>
      </c>
      <c r="J531" s="42"/>
      <c r="K531" s="35"/>
      <c r="L531" s="35"/>
      <c r="M531" s="36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</row>
    <row r="532" spans="1:29" ht="18.75" customHeight="1" hidden="1">
      <c r="A532" s="125" t="s">
        <v>836</v>
      </c>
      <c r="B532" s="103">
        <v>807</v>
      </c>
      <c r="C532" s="87" t="s">
        <v>793</v>
      </c>
      <c r="D532" s="87" t="s">
        <v>790</v>
      </c>
      <c r="E532" s="87" t="s">
        <v>572</v>
      </c>
      <c r="F532" s="87" t="s">
        <v>545</v>
      </c>
      <c r="G532" s="88"/>
      <c r="H532" s="88"/>
      <c r="I532" s="88"/>
      <c r="J532" s="42"/>
      <c r="K532" s="35"/>
      <c r="L532" s="35"/>
      <c r="M532" s="36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</row>
    <row r="533" spans="1:29" ht="18.75" customHeight="1" hidden="1">
      <c r="A533" s="131" t="s">
        <v>364</v>
      </c>
      <c r="B533" s="103">
        <v>807</v>
      </c>
      <c r="C533" s="87" t="s">
        <v>508</v>
      </c>
      <c r="D533" s="87"/>
      <c r="E533" s="87"/>
      <c r="F533" s="87"/>
      <c r="G533" s="88">
        <f>G534</f>
        <v>0</v>
      </c>
      <c r="H533" s="88">
        <f aca="true" t="shared" si="54" ref="H533:I536">H534</f>
        <v>0</v>
      </c>
      <c r="I533" s="88">
        <f t="shared" si="54"/>
        <v>0</v>
      </c>
      <c r="J533" s="42"/>
      <c r="K533" s="35"/>
      <c r="L533" s="35"/>
      <c r="M533" s="36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</row>
    <row r="534" spans="1:29" ht="18.75" customHeight="1" hidden="1">
      <c r="A534" s="131" t="s">
        <v>231</v>
      </c>
      <c r="B534" s="103">
        <v>807</v>
      </c>
      <c r="C534" s="87" t="s">
        <v>508</v>
      </c>
      <c r="D534" s="87" t="s">
        <v>508</v>
      </c>
      <c r="E534" s="87"/>
      <c r="F534" s="87"/>
      <c r="G534" s="88">
        <f>G535</f>
        <v>0</v>
      </c>
      <c r="H534" s="88">
        <f t="shared" si="54"/>
        <v>0</v>
      </c>
      <c r="I534" s="88">
        <f t="shared" si="54"/>
        <v>0</v>
      </c>
      <c r="J534" s="42"/>
      <c r="K534" s="35"/>
      <c r="L534" s="35"/>
      <c r="M534" s="36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</row>
    <row r="535" spans="1:29" ht="18.75" customHeight="1" hidden="1">
      <c r="A535" s="125" t="s">
        <v>209</v>
      </c>
      <c r="B535" s="103">
        <v>807</v>
      </c>
      <c r="C535" s="87" t="s">
        <v>508</v>
      </c>
      <c r="D535" s="87" t="s">
        <v>508</v>
      </c>
      <c r="E535" s="87" t="s">
        <v>473</v>
      </c>
      <c r="F535" s="87"/>
      <c r="G535" s="88">
        <f>G536</f>
        <v>0</v>
      </c>
      <c r="H535" s="88">
        <f t="shared" si="54"/>
        <v>0</v>
      </c>
      <c r="I535" s="88">
        <f t="shared" si="54"/>
        <v>0</v>
      </c>
      <c r="J535" s="42"/>
      <c r="K535" s="35"/>
      <c r="L535" s="35"/>
      <c r="M535" s="36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</row>
    <row r="536" spans="1:29" ht="18.75" customHeight="1" hidden="1">
      <c r="A536" s="140" t="s">
        <v>301</v>
      </c>
      <c r="B536" s="103">
        <v>807</v>
      </c>
      <c r="C536" s="87" t="s">
        <v>508</v>
      </c>
      <c r="D536" s="87" t="s">
        <v>508</v>
      </c>
      <c r="E536" s="87" t="s">
        <v>516</v>
      </c>
      <c r="F536" s="87"/>
      <c r="G536" s="88">
        <f>G537</f>
        <v>0</v>
      </c>
      <c r="H536" s="88">
        <f t="shared" si="54"/>
        <v>0</v>
      </c>
      <c r="I536" s="88">
        <f t="shared" si="54"/>
        <v>0</v>
      </c>
      <c r="J536" s="42"/>
      <c r="K536" s="35"/>
      <c r="L536" s="35"/>
      <c r="M536" s="36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</row>
    <row r="537" spans="1:29" ht="18.75" customHeight="1" hidden="1">
      <c r="A537" s="131" t="s">
        <v>537</v>
      </c>
      <c r="B537" s="103">
        <v>807</v>
      </c>
      <c r="C537" s="87" t="s">
        <v>508</v>
      </c>
      <c r="D537" s="87" t="s">
        <v>508</v>
      </c>
      <c r="E537" s="87" t="s">
        <v>516</v>
      </c>
      <c r="F537" s="87" t="s">
        <v>536</v>
      </c>
      <c r="G537" s="88"/>
      <c r="H537" s="88"/>
      <c r="I537" s="88"/>
      <c r="J537" s="42"/>
      <c r="K537" s="35"/>
      <c r="L537" s="35"/>
      <c r="M537" s="36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</row>
    <row r="538" spans="1:29" ht="18.75" customHeight="1">
      <c r="A538" s="131" t="s">
        <v>311</v>
      </c>
      <c r="B538" s="103">
        <v>807</v>
      </c>
      <c r="C538" s="87" t="s">
        <v>487</v>
      </c>
      <c r="D538" s="87"/>
      <c r="E538" s="87"/>
      <c r="F538" s="87"/>
      <c r="G538" s="88">
        <f>G539</f>
        <v>26875</v>
      </c>
      <c r="H538" s="88">
        <f aca="true" t="shared" si="55" ref="H538:I541">H539</f>
        <v>17690</v>
      </c>
      <c r="I538" s="88">
        <f t="shared" si="55"/>
        <v>7893</v>
      </c>
      <c r="J538" s="42"/>
      <c r="K538" s="35"/>
      <c r="L538" s="35"/>
      <c r="M538" s="36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</row>
    <row r="539" spans="1:29" ht="18.75" customHeight="1">
      <c r="A539" s="131" t="s">
        <v>743</v>
      </c>
      <c r="B539" s="103">
        <v>807</v>
      </c>
      <c r="C539" s="87" t="s">
        <v>487</v>
      </c>
      <c r="D539" s="87" t="s">
        <v>790</v>
      </c>
      <c r="E539" s="87"/>
      <c r="F539" s="87"/>
      <c r="G539" s="88">
        <f>G540</f>
        <v>26875</v>
      </c>
      <c r="H539" s="88">
        <f t="shared" si="55"/>
        <v>17690</v>
      </c>
      <c r="I539" s="88">
        <f t="shared" si="55"/>
        <v>7893</v>
      </c>
      <c r="J539" s="42"/>
      <c r="K539" s="35"/>
      <c r="L539" s="35"/>
      <c r="M539" s="36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</row>
    <row r="540" spans="1:29" ht="18.75" customHeight="1">
      <c r="A540" s="131" t="s">
        <v>744</v>
      </c>
      <c r="B540" s="103">
        <v>807</v>
      </c>
      <c r="C540" s="87" t="s">
        <v>487</v>
      </c>
      <c r="D540" s="87" t="s">
        <v>790</v>
      </c>
      <c r="E540" s="87" t="s">
        <v>135</v>
      </c>
      <c r="F540" s="87"/>
      <c r="G540" s="88">
        <f>G541</f>
        <v>26875</v>
      </c>
      <c r="H540" s="88">
        <f t="shared" si="55"/>
        <v>17690</v>
      </c>
      <c r="I540" s="88">
        <f t="shared" si="55"/>
        <v>7893</v>
      </c>
      <c r="J540" s="42"/>
      <c r="K540" s="35"/>
      <c r="L540" s="35"/>
      <c r="M540" s="36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</row>
    <row r="541" spans="1:29" ht="18.75" customHeight="1">
      <c r="A541" s="125" t="s">
        <v>137</v>
      </c>
      <c r="B541" s="103">
        <v>807</v>
      </c>
      <c r="C541" s="87" t="s">
        <v>487</v>
      </c>
      <c r="D541" s="87" t="s">
        <v>790</v>
      </c>
      <c r="E541" s="87" t="s">
        <v>136</v>
      </c>
      <c r="F541" s="87"/>
      <c r="G541" s="88">
        <f>G542</f>
        <v>26875</v>
      </c>
      <c r="H541" s="88">
        <f t="shared" si="55"/>
        <v>17690</v>
      </c>
      <c r="I541" s="88">
        <f t="shared" si="55"/>
        <v>7893</v>
      </c>
      <c r="J541" s="42"/>
      <c r="K541" s="35"/>
      <c r="L541" s="35"/>
      <c r="M541" s="36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</row>
    <row r="542" spans="1:29" ht="18.75" customHeight="1">
      <c r="A542" s="131" t="s">
        <v>138</v>
      </c>
      <c r="B542" s="103">
        <v>807</v>
      </c>
      <c r="C542" s="87" t="s">
        <v>487</v>
      </c>
      <c r="D542" s="87" t="s">
        <v>790</v>
      </c>
      <c r="E542" s="87" t="s">
        <v>136</v>
      </c>
      <c r="F542" s="87" t="s">
        <v>536</v>
      </c>
      <c r="G542" s="88">
        <v>26875</v>
      </c>
      <c r="H542" s="88">
        <v>17690</v>
      </c>
      <c r="I542" s="88">
        <v>7893</v>
      </c>
      <c r="J542" s="42"/>
      <c r="K542" s="35"/>
      <c r="L542" s="35"/>
      <c r="M542" s="36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</row>
    <row r="543" spans="1:29" s="48" customFormat="1" ht="19.5" customHeight="1">
      <c r="A543" s="133" t="s">
        <v>579</v>
      </c>
      <c r="B543" s="103">
        <v>808</v>
      </c>
      <c r="C543" s="87"/>
      <c r="D543" s="87"/>
      <c r="E543" s="87"/>
      <c r="F543" s="87"/>
      <c r="G543" s="88">
        <f>SUM(G559,G578,G549,G544,G633)</f>
        <v>265091.30000000005</v>
      </c>
      <c r="H543" s="88">
        <f>SUM(H559,H578,H549,H544)</f>
        <v>244068.10000000003</v>
      </c>
      <c r="I543" s="88">
        <f>SUM(I559,I578,I549,I544)</f>
        <v>247968.4</v>
      </c>
      <c r="J543" s="42"/>
      <c r="K543" s="52"/>
      <c r="L543" s="35"/>
      <c r="M543" s="36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</row>
    <row r="544" spans="1:13" s="35" customFormat="1" ht="19.5" customHeight="1" hidden="1">
      <c r="A544" s="141" t="s">
        <v>0</v>
      </c>
      <c r="B544" s="103">
        <v>808</v>
      </c>
      <c r="C544" s="87" t="s">
        <v>790</v>
      </c>
      <c r="D544" s="87"/>
      <c r="E544" s="87"/>
      <c r="F544" s="87"/>
      <c r="G544" s="88">
        <f>G545</f>
        <v>0</v>
      </c>
      <c r="H544" s="88">
        <f aca="true" t="shared" si="56" ref="H544:I547">H545</f>
        <v>0</v>
      </c>
      <c r="I544" s="88">
        <f t="shared" si="56"/>
        <v>0</v>
      </c>
      <c r="J544" s="42"/>
      <c r="K544" s="52"/>
      <c r="M544" s="36"/>
    </row>
    <row r="545" spans="1:13" s="35" customFormat="1" ht="19.5" customHeight="1" hidden="1">
      <c r="A545" s="131" t="s">
        <v>305</v>
      </c>
      <c r="B545" s="103">
        <v>808</v>
      </c>
      <c r="C545" s="87" t="s">
        <v>790</v>
      </c>
      <c r="D545" s="87" t="s">
        <v>487</v>
      </c>
      <c r="E545" s="87"/>
      <c r="F545" s="87"/>
      <c r="G545" s="88">
        <f>G546</f>
        <v>0</v>
      </c>
      <c r="H545" s="88">
        <f t="shared" si="56"/>
        <v>0</v>
      </c>
      <c r="I545" s="88">
        <f t="shared" si="56"/>
        <v>0</v>
      </c>
      <c r="J545" s="42"/>
      <c r="K545" s="52"/>
      <c r="M545" s="36"/>
    </row>
    <row r="546" spans="1:13" s="35" customFormat="1" ht="19.5" customHeight="1" hidden="1">
      <c r="A546" s="140" t="s">
        <v>5</v>
      </c>
      <c r="B546" s="103">
        <v>808</v>
      </c>
      <c r="C546" s="87" t="s">
        <v>790</v>
      </c>
      <c r="D546" s="87" t="s">
        <v>487</v>
      </c>
      <c r="E546" s="87" t="s">
        <v>342</v>
      </c>
      <c r="F546" s="87"/>
      <c r="G546" s="88">
        <f>G547</f>
        <v>0</v>
      </c>
      <c r="H546" s="88">
        <f>H547</f>
        <v>0</v>
      </c>
      <c r="I546" s="88">
        <f>I547</f>
        <v>0</v>
      </c>
      <c r="J546" s="42"/>
      <c r="K546" s="52"/>
      <c r="M546" s="36"/>
    </row>
    <row r="547" spans="1:13" s="35" customFormat="1" ht="19.5" customHeight="1" hidden="1">
      <c r="A547" s="125" t="s">
        <v>6</v>
      </c>
      <c r="B547" s="103">
        <v>808</v>
      </c>
      <c r="C547" s="87" t="s">
        <v>790</v>
      </c>
      <c r="D547" s="87" t="s">
        <v>487</v>
      </c>
      <c r="E547" s="87" t="s">
        <v>399</v>
      </c>
      <c r="F547" s="87"/>
      <c r="G547" s="88">
        <f>G548</f>
        <v>0</v>
      </c>
      <c r="H547" s="88">
        <f t="shared" si="56"/>
        <v>0</v>
      </c>
      <c r="I547" s="88">
        <f t="shared" si="56"/>
        <v>0</v>
      </c>
      <c r="J547" s="42"/>
      <c r="K547" s="52"/>
      <c r="M547" s="36"/>
    </row>
    <row r="548" spans="1:13" s="35" customFormat="1" ht="19.5" customHeight="1" hidden="1">
      <c r="A548" s="124" t="s">
        <v>346</v>
      </c>
      <c r="B548" s="103">
        <v>808</v>
      </c>
      <c r="C548" s="87" t="s">
        <v>790</v>
      </c>
      <c r="D548" s="87" t="s">
        <v>487</v>
      </c>
      <c r="E548" s="87" t="s">
        <v>399</v>
      </c>
      <c r="F548" s="87" t="s">
        <v>197</v>
      </c>
      <c r="G548" s="88"/>
      <c r="H548" s="88"/>
      <c r="I548" s="88"/>
      <c r="J548" s="42"/>
      <c r="K548" s="52"/>
      <c r="M548" s="36"/>
    </row>
    <row r="549" spans="1:13" s="35" customFormat="1" ht="19.5" customHeight="1" hidden="1">
      <c r="A549" s="133" t="s">
        <v>418</v>
      </c>
      <c r="B549" s="103">
        <v>808</v>
      </c>
      <c r="C549" s="87" t="s">
        <v>793</v>
      </c>
      <c r="D549" s="87"/>
      <c r="E549" s="87"/>
      <c r="F549" s="87"/>
      <c r="G549" s="88">
        <f>G550</f>
        <v>0</v>
      </c>
      <c r="H549" s="88">
        <f>H550</f>
        <v>0</v>
      </c>
      <c r="I549" s="88">
        <f>I550</f>
        <v>0</v>
      </c>
      <c r="J549" s="42"/>
      <c r="K549" s="52"/>
      <c r="M549" s="36"/>
    </row>
    <row r="550" spans="1:13" s="35" customFormat="1" ht="19.5" customHeight="1" hidden="1">
      <c r="A550" s="124" t="s">
        <v>756</v>
      </c>
      <c r="B550" s="103">
        <v>808</v>
      </c>
      <c r="C550" s="87" t="s">
        <v>793</v>
      </c>
      <c r="D550" s="87" t="s">
        <v>790</v>
      </c>
      <c r="E550" s="87"/>
      <c r="F550" s="87"/>
      <c r="G550" s="88">
        <f>G551+G556</f>
        <v>0</v>
      </c>
      <c r="H550" s="88">
        <f>H551+H556</f>
        <v>0</v>
      </c>
      <c r="I550" s="88">
        <f>I551+I556</f>
        <v>0</v>
      </c>
      <c r="J550" s="42"/>
      <c r="K550" s="52"/>
      <c r="M550" s="36"/>
    </row>
    <row r="551" spans="1:13" s="35" customFormat="1" ht="19.5" customHeight="1" hidden="1">
      <c r="A551" s="124" t="s">
        <v>758</v>
      </c>
      <c r="B551" s="103">
        <v>808</v>
      </c>
      <c r="C551" s="87" t="s">
        <v>793</v>
      </c>
      <c r="D551" s="87" t="s">
        <v>790</v>
      </c>
      <c r="E551" s="87" t="s">
        <v>757</v>
      </c>
      <c r="F551" s="87"/>
      <c r="G551" s="88">
        <f>G552+G554</f>
        <v>0</v>
      </c>
      <c r="H551" s="88">
        <f>H552+H554</f>
        <v>0</v>
      </c>
      <c r="I551" s="88">
        <f>I552+I554</f>
        <v>0</v>
      </c>
      <c r="J551" s="42"/>
      <c r="K551" s="52"/>
      <c r="M551" s="36"/>
    </row>
    <row r="552" spans="1:13" s="35" customFormat="1" ht="19.5" customHeight="1" hidden="1">
      <c r="A552" s="124" t="s">
        <v>760</v>
      </c>
      <c r="B552" s="103">
        <v>808</v>
      </c>
      <c r="C552" s="87" t="s">
        <v>793</v>
      </c>
      <c r="D552" s="87" t="s">
        <v>790</v>
      </c>
      <c r="E552" s="87" t="s">
        <v>759</v>
      </c>
      <c r="F552" s="87"/>
      <c r="G552" s="88">
        <f>G553</f>
        <v>0</v>
      </c>
      <c r="H552" s="88">
        <f>H553</f>
        <v>0</v>
      </c>
      <c r="I552" s="88">
        <f>I553</f>
        <v>0</v>
      </c>
      <c r="J552" s="42"/>
      <c r="K552" s="52"/>
      <c r="M552" s="36"/>
    </row>
    <row r="553" spans="1:13" s="35" customFormat="1" ht="19.5" customHeight="1" hidden="1">
      <c r="A553" s="125" t="s">
        <v>836</v>
      </c>
      <c r="B553" s="103">
        <v>808</v>
      </c>
      <c r="C553" s="87" t="s">
        <v>793</v>
      </c>
      <c r="D553" s="87" t="s">
        <v>790</v>
      </c>
      <c r="E553" s="87" t="s">
        <v>759</v>
      </c>
      <c r="F553" s="87" t="s">
        <v>545</v>
      </c>
      <c r="G553" s="88"/>
      <c r="H553" s="88"/>
      <c r="I553" s="88"/>
      <c r="J553" s="42"/>
      <c r="K553" s="52"/>
      <c r="M553" s="36"/>
    </row>
    <row r="554" spans="1:13" s="35" customFormat="1" ht="36" customHeight="1" hidden="1">
      <c r="A554" s="125" t="s">
        <v>568</v>
      </c>
      <c r="B554" s="103">
        <v>808</v>
      </c>
      <c r="C554" s="87" t="s">
        <v>793</v>
      </c>
      <c r="D554" s="87" t="s">
        <v>790</v>
      </c>
      <c r="E554" s="87" t="s">
        <v>567</v>
      </c>
      <c r="F554" s="87"/>
      <c r="G554" s="88">
        <f>SUM(G555)</f>
        <v>0</v>
      </c>
      <c r="H554" s="88">
        <f>SUM(H555)</f>
        <v>0</v>
      </c>
      <c r="I554" s="88">
        <f>SUM(I555)</f>
        <v>0</v>
      </c>
      <c r="J554" s="42"/>
      <c r="K554" s="52"/>
      <c r="M554" s="36"/>
    </row>
    <row r="555" spans="1:13" s="35" customFormat="1" ht="19.5" customHeight="1" hidden="1">
      <c r="A555" s="125" t="s">
        <v>836</v>
      </c>
      <c r="B555" s="103">
        <v>808</v>
      </c>
      <c r="C555" s="87" t="s">
        <v>793</v>
      </c>
      <c r="D555" s="87" t="s">
        <v>790</v>
      </c>
      <c r="E555" s="87" t="s">
        <v>567</v>
      </c>
      <c r="F555" s="87" t="s">
        <v>545</v>
      </c>
      <c r="G555" s="88"/>
      <c r="H555" s="88"/>
      <c r="I555" s="88"/>
      <c r="J555" s="42"/>
      <c r="K555" s="52"/>
      <c r="M555" s="36"/>
    </row>
    <row r="556" spans="1:13" s="35" customFormat="1" ht="19.5" customHeight="1" hidden="1">
      <c r="A556" s="125" t="s">
        <v>277</v>
      </c>
      <c r="B556" s="103">
        <v>808</v>
      </c>
      <c r="C556" s="87" t="s">
        <v>793</v>
      </c>
      <c r="D556" s="87" t="s">
        <v>790</v>
      </c>
      <c r="E556" s="87" t="s">
        <v>381</v>
      </c>
      <c r="F556" s="87"/>
      <c r="G556" s="88">
        <f aca="true" t="shared" si="57" ref="G556:I557">SUM(G557)</f>
        <v>0</v>
      </c>
      <c r="H556" s="88">
        <f t="shared" si="57"/>
        <v>0</v>
      </c>
      <c r="I556" s="88">
        <f t="shared" si="57"/>
        <v>0</v>
      </c>
      <c r="J556" s="42"/>
      <c r="K556" s="52"/>
      <c r="M556" s="36"/>
    </row>
    <row r="557" spans="1:13" s="35" customFormat="1" ht="35.25" customHeight="1" hidden="1">
      <c r="A557" s="125" t="s">
        <v>570</v>
      </c>
      <c r="B557" s="103">
        <v>808</v>
      </c>
      <c r="C557" s="87" t="s">
        <v>793</v>
      </c>
      <c r="D557" s="87" t="s">
        <v>790</v>
      </c>
      <c r="E557" s="87" t="s">
        <v>572</v>
      </c>
      <c r="F557" s="87"/>
      <c r="G557" s="88">
        <f t="shared" si="57"/>
        <v>0</v>
      </c>
      <c r="H557" s="88">
        <f t="shared" si="57"/>
        <v>0</v>
      </c>
      <c r="I557" s="88">
        <f t="shared" si="57"/>
        <v>0</v>
      </c>
      <c r="J557" s="42"/>
      <c r="K557" s="52"/>
      <c r="M557" s="36"/>
    </row>
    <row r="558" spans="1:13" s="35" customFormat="1" ht="19.5" customHeight="1" hidden="1">
      <c r="A558" s="125" t="s">
        <v>836</v>
      </c>
      <c r="B558" s="103">
        <v>808</v>
      </c>
      <c r="C558" s="87" t="s">
        <v>793</v>
      </c>
      <c r="D558" s="87" t="s">
        <v>790</v>
      </c>
      <c r="E558" s="87" t="s">
        <v>572</v>
      </c>
      <c r="F558" s="87" t="s">
        <v>545</v>
      </c>
      <c r="G558" s="88"/>
      <c r="H558" s="88"/>
      <c r="I558" s="88"/>
      <c r="J558" s="42"/>
      <c r="K558" s="52"/>
      <c r="M558" s="36"/>
    </row>
    <row r="559" spans="1:29" s="49" customFormat="1" ht="18.75" customHeight="1">
      <c r="A559" s="131" t="s">
        <v>412</v>
      </c>
      <c r="B559" s="103">
        <v>808</v>
      </c>
      <c r="C559" s="87" t="s">
        <v>508</v>
      </c>
      <c r="D559" s="87"/>
      <c r="E559" s="87"/>
      <c r="F559" s="87"/>
      <c r="G559" s="88">
        <f>SUM(G560,G566,G570)</f>
        <v>44964.8</v>
      </c>
      <c r="H559" s="88">
        <f>SUM(H560,H566,H570)</f>
        <v>43797.600000000006</v>
      </c>
      <c r="I559" s="88">
        <f>SUM(I560,I566,I570)</f>
        <v>44309.100000000006</v>
      </c>
      <c r="J559" s="42"/>
      <c r="K559" s="52"/>
      <c r="L559" s="35"/>
      <c r="M559" s="36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</row>
    <row r="560" spans="1:29" ht="18" customHeight="1">
      <c r="A560" s="131" t="s">
        <v>641</v>
      </c>
      <c r="B560" s="103">
        <v>808</v>
      </c>
      <c r="C560" s="87" t="s">
        <v>508</v>
      </c>
      <c r="D560" s="87" t="s">
        <v>791</v>
      </c>
      <c r="E560" s="87"/>
      <c r="F560" s="87"/>
      <c r="G560" s="88">
        <f>SUM(G561)</f>
        <v>44711.8</v>
      </c>
      <c r="H560" s="88">
        <f>SUM(H561)</f>
        <v>43605.600000000006</v>
      </c>
      <c r="I560" s="88">
        <f>SUM(I561)</f>
        <v>43922.100000000006</v>
      </c>
      <c r="J560" s="42"/>
      <c r="K560" s="52"/>
      <c r="L560" s="35"/>
      <c r="M560" s="36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</row>
    <row r="561" spans="1:29" ht="18" customHeight="1">
      <c r="A561" s="131" t="s">
        <v>139</v>
      </c>
      <c r="B561" s="103">
        <v>808</v>
      </c>
      <c r="C561" s="87" t="s">
        <v>508</v>
      </c>
      <c r="D561" s="87" t="s">
        <v>791</v>
      </c>
      <c r="E561" s="87" t="s">
        <v>442</v>
      </c>
      <c r="F561" s="87"/>
      <c r="G561" s="88">
        <f>SUM(G562,G564)</f>
        <v>44711.8</v>
      </c>
      <c r="H561" s="88">
        <f>SUM(H562,H564)</f>
        <v>43605.600000000006</v>
      </c>
      <c r="I561" s="88">
        <f>SUM(I562,I564)</f>
        <v>43922.100000000006</v>
      </c>
      <c r="J561" s="42"/>
      <c r="K561" s="52"/>
      <c r="L561" s="35"/>
      <c r="M561" s="36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</row>
    <row r="562" spans="1:29" ht="18" customHeight="1">
      <c r="A562" s="131" t="s">
        <v>564</v>
      </c>
      <c r="B562" s="103">
        <v>808</v>
      </c>
      <c r="C562" s="87" t="s">
        <v>508</v>
      </c>
      <c r="D562" s="87" t="s">
        <v>791</v>
      </c>
      <c r="E562" s="87" t="s">
        <v>478</v>
      </c>
      <c r="F562" s="87"/>
      <c r="G562" s="88">
        <f>SUM(G563)</f>
        <v>875.8</v>
      </c>
      <c r="H562" s="88">
        <f>SUM(H563)</f>
        <v>875.8</v>
      </c>
      <c r="I562" s="88">
        <f>SUM(I563)</f>
        <v>875.8</v>
      </c>
      <c r="J562" s="42"/>
      <c r="K562" s="52"/>
      <c r="L562" s="35"/>
      <c r="M562" s="36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</row>
    <row r="563" spans="1:29" ht="18" customHeight="1">
      <c r="A563" s="125" t="s">
        <v>140</v>
      </c>
      <c r="B563" s="103">
        <v>808</v>
      </c>
      <c r="C563" s="87" t="s">
        <v>508</v>
      </c>
      <c r="D563" s="87" t="s">
        <v>791</v>
      </c>
      <c r="E563" s="87" t="s">
        <v>478</v>
      </c>
      <c r="F563" s="87" t="s">
        <v>545</v>
      </c>
      <c r="G563" s="88">
        <v>875.8</v>
      </c>
      <c r="H563" s="88">
        <v>875.8</v>
      </c>
      <c r="I563" s="88">
        <v>875.8</v>
      </c>
      <c r="J563" s="42"/>
      <c r="K563" s="52"/>
      <c r="L563" s="35"/>
      <c r="M563" s="36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</row>
    <row r="564" spans="1:29" ht="18" customHeight="1">
      <c r="A564" s="131" t="s">
        <v>389</v>
      </c>
      <c r="B564" s="103">
        <v>808</v>
      </c>
      <c r="C564" s="87" t="s">
        <v>508</v>
      </c>
      <c r="D564" s="87" t="s">
        <v>791</v>
      </c>
      <c r="E564" s="87" t="s">
        <v>443</v>
      </c>
      <c r="F564" s="87"/>
      <c r="G564" s="88">
        <f>SUM(G565)</f>
        <v>43836</v>
      </c>
      <c r="H564" s="88">
        <f>SUM(H565)</f>
        <v>42729.8</v>
      </c>
      <c r="I564" s="88">
        <f>SUM(I565)</f>
        <v>43046.3</v>
      </c>
      <c r="J564" s="42"/>
      <c r="K564" s="52"/>
      <c r="L564" s="35"/>
      <c r="M564" s="36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</row>
    <row r="565" spans="1:29" ht="18" customHeight="1">
      <c r="A565" s="125" t="s">
        <v>140</v>
      </c>
      <c r="B565" s="103">
        <v>808</v>
      </c>
      <c r="C565" s="87" t="s">
        <v>508</v>
      </c>
      <c r="D565" s="87" t="s">
        <v>791</v>
      </c>
      <c r="E565" s="87" t="s">
        <v>443</v>
      </c>
      <c r="F565" s="87" t="s">
        <v>545</v>
      </c>
      <c r="G565" s="88">
        <v>43836</v>
      </c>
      <c r="H565" s="88">
        <v>42729.8</v>
      </c>
      <c r="I565" s="88">
        <v>43046.3</v>
      </c>
      <c r="J565" s="42"/>
      <c r="K565" s="52"/>
      <c r="L565" s="35"/>
      <c r="M565" s="36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</row>
    <row r="566" spans="1:29" ht="18" customHeight="1" hidden="1">
      <c r="A566" s="131" t="s">
        <v>231</v>
      </c>
      <c r="B566" s="103">
        <v>808</v>
      </c>
      <c r="C566" s="87" t="s">
        <v>508</v>
      </c>
      <c r="D566" s="87" t="s">
        <v>508</v>
      </c>
      <c r="E566" s="87"/>
      <c r="F566" s="87"/>
      <c r="G566" s="88">
        <f>G567</f>
        <v>0</v>
      </c>
      <c r="H566" s="88">
        <f aca="true" t="shared" si="58" ref="H566:I568">H567</f>
        <v>0</v>
      </c>
      <c r="I566" s="88">
        <f t="shared" si="58"/>
        <v>0</v>
      </c>
      <c r="J566" s="42"/>
      <c r="K566" s="52"/>
      <c r="L566" s="35"/>
      <c r="M566" s="36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</row>
    <row r="567" spans="1:29" ht="18" customHeight="1" hidden="1">
      <c r="A567" s="125" t="s">
        <v>209</v>
      </c>
      <c r="B567" s="103">
        <v>808</v>
      </c>
      <c r="C567" s="87" t="s">
        <v>508</v>
      </c>
      <c r="D567" s="87" t="s">
        <v>508</v>
      </c>
      <c r="E567" s="87" t="s">
        <v>473</v>
      </c>
      <c r="F567" s="87"/>
      <c r="G567" s="88">
        <f>G568</f>
        <v>0</v>
      </c>
      <c r="H567" s="88">
        <f t="shared" si="58"/>
        <v>0</v>
      </c>
      <c r="I567" s="88">
        <f t="shared" si="58"/>
        <v>0</v>
      </c>
      <c r="J567" s="42"/>
      <c r="K567" s="52"/>
      <c r="L567" s="35"/>
      <c r="M567" s="36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</row>
    <row r="568" spans="1:29" ht="18" customHeight="1" hidden="1">
      <c r="A568" s="140" t="s">
        <v>301</v>
      </c>
      <c r="B568" s="103">
        <v>808</v>
      </c>
      <c r="C568" s="87" t="s">
        <v>508</v>
      </c>
      <c r="D568" s="87" t="s">
        <v>508</v>
      </c>
      <c r="E568" s="87" t="s">
        <v>516</v>
      </c>
      <c r="F568" s="87"/>
      <c r="G568" s="88">
        <f>G569</f>
        <v>0</v>
      </c>
      <c r="H568" s="88">
        <f t="shared" si="58"/>
        <v>0</v>
      </c>
      <c r="I568" s="88">
        <f t="shared" si="58"/>
        <v>0</v>
      </c>
      <c r="J568" s="42"/>
      <c r="K568" s="52"/>
      <c r="L568" s="35"/>
      <c r="M568" s="36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</row>
    <row r="569" spans="1:29" ht="18" customHeight="1" hidden="1">
      <c r="A569" s="131" t="s">
        <v>537</v>
      </c>
      <c r="B569" s="103">
        <v>808</v>
      </c>
      <c r="C569" s="87" t="s">
        <v>508</v>
      </c>
      <c r="D569" s="87" t="s">
        <v>508</v>
      </c>
      <c r="E569" s="87" t="s">
        <v>516</v>
      </c>
      <c r="F569" s="87" t="s">
        <v>536</v>
      </c>
      <c r="G569" s="88"/>
      <c r="H569" s="88"/>
      <c r="I569" s="88"/>
      <c r="J569" s="42"/>
      <c r="K569" s="52"/>
      <c r="L569" s="35"/>
      <c r="M569" s="36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</row>
    <row r="570" spans="1:29" ht="17.25" customHeight="1">
      <c r="A570" s="131" t="s">
        <v>104</v>
      </c>
      <c r="B570" s="26">
        <v>808</v>
      </c>
      <c r="C570" s="104" t="s">
        <v>508</v>
      </c>
      <c r="D570" s="104" t="s">
        <v>40</v>
      </c>
      <c r="E570" s="104"/>
      <c r="F570" s="104"/>
      <c r="G570" s="88">
        <f>G574+G571</f>
        <v>253</v>
      </c>
      <c r="H570" s="88">
        <f>H574+H571</f>
        <v>192</v>
      </c>
      <c r="I570" s="88">
        <f>I574+I571</f>
        <v>387</v>
      </c>
      <c r="J570" s="42"/>
      <c r="K570" s="35"/>
      <c r="L570" s="35"/>
      <c r="M570" s="36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</row>
    <row r="571" spans="1:29" ht="17.25" customHeight="1">
      <c r="A571" s="124" t="s">
        <v>380</v>
      </c>
      <c r="B571" s="103">
        <v>808</v>
      </c>
      <c r="C571" s="87" t="s">
        <v>508</v>
      </c>
      <c r="D571" s="87" t="s">
        <v>40</v>
      </c>
      <c r="E571" s="87" t="s">
        <v>381</v>
      </c>
      <c r="F571" s="104"/>
      <c r="G571" s="88">
        <f aca="true" t="shared" si="59" ref="G571:I572">G572</f>
        <v>159</v>
      </c>
      <c r="H571" s="88">
        <f t="shared" si="59"/>
        <v>90</v>
      </c>
      <c r="I571" s="88">
        <f t="shared" si="59"/>
        <v>285</v>
      </c>
      <c r="J571" s="42"/>
      <c r="K571" s="35"/>
      <c r="L571" s="35"/>
      <c r="M571" s="36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</row>
    <row r="572" spans="1:29" ht="33" customHeight="1">
      <c r="A572" s="131" t="s">
        <v>818</v>
      </c>
      <c r="B572" s="103">
        <v>808</v>
      </c>
      <c r="C572" s="87" t="s">
        <v>508</v>
      </c>
      <c r="D572" s="87" t="s">
        <v>40</v>
      </c>
      <c r="E572" s="87" t="s">
        <v>426</v>
      </c>
      <c r="F572" s="104"/>
      <c r="G572" s="88">
        <f t="shared" si="59"/>
        <v>159</v>
      </c>
      <c r="H572" s="88">
        <f t="shared" si="59"/>
        <v>90</v>
      </c>
      <c r="I572" s="88">
        <f t="shared" si="59"/>
        <v>285</v>
      </c>
      <c r="J572" s="42"/>
      <c r="K572" s="35"/>
      <c r="L572" s="35"/>
      <c r="M572" s="36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</row>
    <row r="573" spans="1:29" ht="17.25" customHeight="1">
      <c r="A573" s="124" t="s">
        <v>501</v>
      </c>
      <c r="B573" s="103">
        <v>808</v>
      </c>
      <c r="C573" s="87" t="s">
        <v>508</v>
      </c>
      <c r="D573" s="87" t="s">
        <v>40</v>
      </c>
      <c r="E573" s="87" t="s">
        <v>426</v>
      </c>
      <c r="F573" s="104" t="s">
        <v>102</v>
      </c>
      <c r="G573" s="88">
        <v>159</v>
      </c>
      <c r="H573" s="88">
        <v>90</v>
      </c>
      <c r="I573" s="88">
        <v>285</v>
      </c>
      <c r="J573" s="42"/>
      <c r="K573" s="35"/>
      <c r="L573" s="35"/>
      <c r="M573" s="36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</row>
    <row r="574" spans="1:29" ht="17.25" customHeight="1">
      <c r="A574" s="140" t="s">
        <v>349</v>
      </c>
      <c r="B574" s="26">
        <v>808</v>
      </c>
      <c r="C574" s="104" t="s">
        <v>508</v>
      </c>
      <c r="D574" s="104" t="s">
        <v>40</v>
      </c>
      <c r="E574" s="87" t="s">
        <v>343</v>
      </c>
      <c r="F574" s="87"/>
      <c r="G574" s="88">
        <f>G575</f>
        <v>94</v>
      </c>
      <c r="H574" s="88">
        <f aca="true" t="shared" si="60" ref="G574:I576">H575</f>
        <v>102</v>
      </c>
      <c r="I574" s="88">
        <f t="shared" si="60"/>
        <v>102</v>
      </c>
      <c r="J574" s="42"/>
      <c r="K574" s="35"/>
      <c r="L574" s="35"/>
      <c r="M574" s="36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</row>
    <row r="575" spans="1:29" ht="17.25" customHeight="1">
      <c r="A575" s="140" t="s">
        <v>380</v>
      </c>
      <c r="B575" s="26">
        <v>808</v>
      </c>
      <c r="C575" s="104" t="s">
        <v>508</v>
      </c>
      <c r="D575" s="104" t="s">
        <v>40</v>
      </c>
      <c r="E575" s="87" t="s">
        <v>344</v>
      </c>
      <c r="F575" s="87"/>
      <c r="G575" s="88">
        <f>G576</f>
        <v>94</v>
      </c>
      <c r="H575" s="88">
        <f>H576</f>
        <v>102</v>
      </c>
      <c r="I575" s="88">
        <f>I576</f>
        <v>102</v>
      </c>
      <c r="J575" s="42"/>
      <c r="K575" s="35"/>
      <c r="L575" s="35"/>
      <c r="M575" s="36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</row>
    <row r="576" spans="1:29" ht="17.25" customHeight="1">
      <c r="A576" s="131" t="s">
        <v>199</v>
      </c>
      <c r="B576" s="26">
        <v>808</v>
      </c>
      <c r="C576" s="104" t="s">
        <v>508</v>
      </c>
      <c r="D576" s="104" t="s">
        <v>40</v>
      </c>
      <c r="E576" s="87" t="s">
        <v>354</v>
      </c>
      <c r="F576" s="87"/>
      <c r="G576" s="88">
        <f t="shared" si="60"/>
        <v>94</v>
      </c>
      <c r="H576" s="88">
        <f t="shared" si="60"/>
        <v>102</v>
      </c>
      <c r="I576" s="88">
        <f t="shared" si="60"/>
        <v>102</v>
      </c>
      <c r="J576" s="42"/>
      <c r="K576" s="35"/>
      <c r="L576" s="35"/>
      <c r="M576" s="36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</row>
    <row r="577" spans="1:29" ht="20.25" customHeight="1">
      <c r="A577" s="124" t="s">
        <v>501</v>
      </c>
      <c r="B577" s="26">
        <v>808</v>
      </c>
      <c r="C577" s="104" t="s">
        <v>508</v>
      </c>
      <c r="D577" s="104" t="s">
        <v>40</v>
      </c>
      <c r="E577" s="87" t="s">
        <v>354</v>
      </c>
      <c r="F577" s="87" t="s">
        <v>102</v>
      </c>
      <c r="G577" s="88">
        <v>94</v>
      </c>
      <c r="H577" s="88">
        <v>102</v>
      </c>
      <c r="I577" s="88">
        <v>102</v>
      </c>
      <c r="J577" s="42"/>
      <c r="K577" s="35"/>
      <c r="L577" s="35"/>
      <c r="M577" s="36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</row>
    <row r="578" spans="1:29" ht="21" customHeight="1">
      <c r="A578" s="131" t="s">
        <v>216</v>
      </c>
      <c r="B578" s="103">
        <v>808</v>
      </c>
      <c r="C578" s="87" t="s">
        <v>43</v>
      </c>
      <c r="D578" s="87"/>
      <c r="E578" s="87"/>
      <c r="F578" s="87"/>
      <c r="G578" s="88">
        <f>SUM(G579,G618)</f>
        <v>219513.30000000002</v>
      </c>
      <c r="H578" s="88">
        <f>SUM(H579,H618)</f>
        <v>200270.50000000003</v>
      </c>
      <c r="I578" s="88">
        <f>SUM(I579,I618)</f>
        <v>203659.3</v>
      </c>
      <c r="J578" s="42"/>
      <c r="K578" s="35"/>
      <c r="L578" s="35"/>
      <c r="M578" s="36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</row>
    <row r="579" spans="1:29" ht="18" customHeight="1">
      <c r="A579" s="131" t="s">
        <v>232</v>
      </c>
      <c r="B579" s="103">
        <v>808</v>
      </c>
      <c r="C579" s="87" t="s">
        <v>43</v>
      </c>
      <c r="D579" s="87" t="s">
        <v>790</v>
      </c>
      <c r="E579" s="87"/>
      <c r="F579" s="87"/>
      <c r="G579" s="88">
        <f>SUM(G580,G589,G594,G599,G606,G609)</f>
        <v>206215.40000000002</v>
      </c>
      <c r="H579" s="88">
        <f>SUM(H580,H589,H594,H599,H581,H609)</f>
        <v>186702.40000000002</v>
      </c>
      <c r="I579" s="88">
        <f>SUM(I580,I589,I594,I599,I581,I609)</f>
        <v>189904.9</v>
      </c>
      <c r="J579" s="42"/>
      <c r="K579" s="35"/>
      <c r="L579" s="35"/>
      <c r="M579" s="36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</row>
    <row r="580" spans="1:29" ht="19.5" customHeight="1">
      <c r="A580" s="118" t="s">
        <v>723</v>
      </c>
      <c r="B580" s="103">
        <v>808</v>
      </c>
      <c r="C580" s="87" t="s">
        <v>43</v>
      </c>
      <c r="D580" s="87" t="s">
        <v>790</v>
      </c>
      <c r="E580" s="87" t="s">
        <v>141</v>
      </c>
      <c r="F580" s="87"/>
      <c r="G580" s="88">
        <f>SUM(G583,G585)</f>
        <v>80203.7</v>
      </c>
      <c r="H580" s="88">
        <f>SUM(H583,H585)</f>
        <v>78151.6</v>
      </c>
      <c r="I580" s="88">
        <f>SUM(I583,I585)</f>
        <v>79351</v>
      </c>
      <c r="J580" s="42"/>
      <c r="K580" s="35"/>
      <c r="L580" s="35"/>
      <c r="M580" s="36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</row>
    <row r="581" spans="1:29" ht="19.5" customHeight="1">
      <c r="A581" s="118" t="s">
        <v>360</v>
      </c>
      <c r="B581" s="103">
        <v>808</v>
      </c>
      <c r="C581" s="69" t="s">
        <v>43</v>
      </c>
      <c r="D581" s="69" t="s">
        <v>790</v>
      </c>
      <c r="E581" s="69" t="s">
        <v>359</v>
      </c>
      <c r="F581" s="69"/>
      <c r="G581" s="88"/>
      <c r="H581" s="88">
        <f>H582</f>
        <v>3175</v>
      </c>
      <c r="I581" s="88">
        <f>I582</f>
        <v>3317.9</v>
      </c>
      <c r="J581" s="42"/>
      <c r="K581" s="35"/>
      <c r="L581" s="35"/>
      <c r="M581" s="36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</row>
    <row r="582" spans="1:29" ht="33.75" customHeight="1">
      <c r="A582" s="119" t="s">
        <v>235</v>
      </c>
      <c r="B582" s="103">
        <v>808</v>
      </c>
      <c r="C582" s="69" t="s">
        <v>43</v>
      </c>
      <c r="D582" s="69" t="s">
        <v>790</v>
      </c>
      <c r="E582" s="69" t="s">
        <v>359</v>
      </c>
      <c r="F582" s="69" t="s">
        <v>285</v>
      </c>
      <c r="G582" s="88"/>
      <c r="H582" s="88">
        <v>3175</v>
      </c>
      <c r="I582" s="88">
        <v>3317.9</v>
      </c>
      <c r="J582" s="42"/>
      <c r="K582" s="35"/>
      <c r="L582" s="35"/>
      <c r="M582" s="36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</row>
    <row r="583" spans="1:29" ht="19.5" customHeight="1">
      <c r="A583" s="131" t="s">
        <v>475</v>
      </c>
      <c r="B583" s="103">
        <v>808</v>
      </c>
      <c r="C583" s="87" t="s">
        <v>43</v>
      </c>
      <c r="D583" s="87" t="s">
        <v>790</v>
      </c>
      <c r="E583" s="87" t="s">
        <v>484</v>
      </c>
      <c r="F583" s="87"/>
      <c r="G583" s="88">
        <f>SUM(G584)</f>
        <v>1465</v>
      </c>
      <c r="H583" s="88">
        <f>SUM(H584)</f>
        <v>1465</v>
      </c>
      <c r="I583" s="88">
        <f>SUM(I584)</f>
        <v>1465</v>
      </c>
      <c r="J583" s="42"/>
      <c r="K583" s="35"/>
      <c r="L583" s="35"/>
      <c r="M583" s="36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</row>
    <row r="584" spans="1:29" ht="20.25" customHeight="1">
      <c r="A584" s="125" t="s">
        <v>140</v>
      </c>
      <c r="B584" s="103">
        <v>808</v>
      </c>
      <c r="C584" s="87" t="s">
        <v>43</v>
      </c>
      <c r="D584" s="87" t="s">
        <v>790</v>
      </c>
      <c r="E584" s="87" t="s">
        <v>484</v>
      </c>
      <c r="F584" s="87" t="s">
        <v>545</v>
      </c>
      <c r="G584" s="88">
        <v>1465</v>
      </c>
      <c r="H584" s="88">
        <v>1465</v>
      </c>
      <c r="I584" s="88">
        <v>1465</v>
      </c>
      <c r="J584" s="42"/>
      <c r="K584" s="35"/>
      <c r="L584" s="35"/>
      <c r="M584" s="36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</row>
    <row r="585" spans="1:29" ht="19.5" customHeight="1">
      <c r="A585" s="131" t="s">
        <v>389</v>
      </c>
      <c r="B585" s="103">
        <v>808</v>
      </c>
      <c r="C585" s="87" t="s">
        <v>43</v>
      </c>
      <c r="D585" s="87" t="s">
        <v>790</v>
      </c>
      <c r="E585" s="87" t="s">
        <v>142</v>
      </c>
      <c r="F585" s="87"/>
      <c r="G585" s="88">
        <f>G586+G587+G588</f>
        <v>78738.7</v>
      </c>
      <c r="H585" s="88">
        <f>H586+H587+H588</f>
        <v>76686.6</v>
      </c>
      <c r="I585" s="88">
        <f>I586+I587+I588</f>
        <v>77886</v>
      </c>
      <c r="J585" s="42"/>
      <c r="K585" s="35"/>
      <c r="L585" s="35"/>
      <c r="M585" s="36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</row>
    <row r="586" spans="1:29" ht="16.5">
      <c r="A586" s="125" t="s">
        <v>140</v>
      </c>
      <c r="B586" s="103">
        <v>808</v>
      </c>
      <c r="C586" s="87" t="s">
        <v>43</v>
      </c>
      <c r="D586" s="87" t="s">
        <v>790</v>
      </c>
      <c r="E586" s="87" t="s">
        <v>142</v>
      </c>
      <c r="F586" s="87" t="s">
        <v>545</v>
      </c>
      <c r="G586" s="88">
        <v>78738.7</v>
      </c>
      <c r="H586" s="88">
        <v>76686.6</v>
      </c>
      <c r="I586" s="88">
        <v>77886</v>
      </c>
      <c r="J586" s="42"/>
      <c r="K586" s="35"/>
      <c r="L586" s="35"/>
      <c r="M586" s="36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</row>
    <row r="587" spans="1:29" ht="33.75" customHeight="1" hidden="1">
      <c r="A587" s="145" t="s">
        <v>552</v>
      </c>
      <c r="B587" s="108">
        <v>808</v>
      </c>
      <c r="C587" s="109" t="s">
        <v>43</v>
      </c>
      <c r="D587" s="109" t="s">
        <v>790</v>
      </c>
      <c r="E587" s="109" t="s">
        <v>142</v>
      </c>
      <c r="F587" s="109" t="s">
        <v>551</v>
      </c>
      <c r="G587" s="110"/>
      <c r="H587" s="110"/>
      <c r="I587" s="110"/>
      <c r="J587" s="55" t="s">
        <v>557</v>
      </c>
      <c r="K587" s="56" t="s">
        <v>554</v>
      </c>
      <c r="L587" s="35"/>
      <c r="M587" s="36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</row>
    <row r="588" spans="1:29" ht="21" customHeight="1" hidden="1">
      <c r="A588" s="146" t="s">
        <v>558</v>
      </c>
      <c r="B588" s="103">
        <v>808</v>
      </c>
      <c r="C588" s="87" t="s">
        <v>43</v>
      </c>
      <c r="D588" s="87" t="s">
        <v>790</v>
      </c>
      <c r="E588" s="87" t="s">
        <v>142</v>
      </c>
      <c r="F588" s="87" t="s">
        <v>559</v>
      </c>
      <c r="G588" s="88"/>
      <c r="H588" s="88"/>
      <c r="I588" s="88"/>
      <c r="J588" s="42"/>
      <c r="K588" s="35"/>
      <c r="L588" s="35"/>
      <c r="M588" s="36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</row>
    <row r="589" spans="1:29" ht="20.25" customHeight="1">
      <c r="A589" s="131" t="s">
        <v>233</v>
      </c>
      <c r="B589" s="103">
        <v>808</v>
      </c>
      <c r="C589" s="87" t="s">
        <v>43</v>
      </c>
      <c r="D589" s="87" t="s">
        <v>790</v>
      </c>
      <c r="E589" s="87" t="s">
        <v>143</v>
      </c>
      <c r="F589" s="87"/>
      <c r="G589" s="88">
        <f>SUM(G590,G592)</f>
        <v>35432.2</v>
      </c>
      <c r="H589" s="88">
        <f>SUM(H590,H592)</f>
        <v>34459.7</v>
      </c>
      <c r="I589" s="88">
        <f>SUM(I590,I592)</f>
        <v>35335.1</v>
      </c>
      <c r="J589" s="42"/>
      <c r="K589" s="35"/>
      <c r="L589" s="35"/>
      <c r="M589" s="36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</row>
    <row r="590" spans="1:29" ht="18" customHeight="1">
      <c r="A590" s="131" t="s">
        <v>475</v>
      </c>
      <c r="B590" s="103">
        <v>808</v>
      </c>
      <c r="C590" s="87" t="s">
        <v>43</v>
      </c>
      <c r="D590" s="87" t="s">
        <v>790</v>
      </c>
      <c r="E590" s="87" t="s">
        <v>485</v>
      </c>
      <c r="F590" s="87"/>
      <c r="G590" s="88">
        <f>SUM(G591)</f>
        <v>1331.6</v>
      </c>
      <c r="H590" s="88">
        <f>SUM(H591)</f>
        <v>1331.6</v>
      </c>
      <c r="I590" s="88">
        <f>SUM(I591)</f>
        <v>1331.6</v>
      </c>
      <c r="J590" s="42"/>
      <c r="K590" s="35"/>
      <c r="L590" s="35"/>
      <c r="M590" s="36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</row>
    <row r="591" spans="1:29" ht="20.25" customHeight="1">
      <c r="A591" s="125" t="s">
        <v>836</v>
      </c>
      <c r="B591" s="103">
        <v>808</v>
      </c>
      <c r="C591" s="87" t="s">
        <v>43</v>
      </c>
      <c r="D591" s="87" t="s">
        <v>790</v>
      </c>
      <c r="E591" s="87" t="s">
        <v>485</v>
      </c>
      <c r="F591" s="87" t="s">
        <v>545</v>
      </c>
      <c r="G591" s="88">
        <v>1331.6</v>
      </c>
      <c r="H591" s="88">
        <v>1331.6</v>
      </c>
      <c r="I591" s="88">
        <v>1331.6</v>
      </c>
      <c r="J591" s="42"/>
      <c r="K591" s="35"/>
      <c r="L591" s="35"/>
      <c r="M591" s="36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</row>
    <row r="592" spans="1:29" ht="19.5" customHeight="1">
      <c r="A592" s="131" t="s">
        <v>389</v>
      </c>
      <c r="B592" s="103">
        <v>808</v>
      </c>
      <c r="C592" s="87" t="s">
        <v>43</v>
      </c>
      <c r="D592" s="87" t="s">
        <v>790</v>
      </c>
      <c r="E592" s="87" t="s">
        <v>144</v>
      </c>
      <c r="F592" s="87"/>
      <c r="G592" s="88">
        <f>SUM(G593)</f>
        <v>34100.6</v>
      </c>
      <c r="H592" s="88">
        <f>SUM(H593)</f>
        <v>33128.1</v>
      </c>
      <c r="I592" s="88">
        <f>SUM(I593)</f>
        <v>34003.5</v>
      </c>
      <c r="J592" s="42"/>
      <c r="K592" s="35"/>
      <c r="L592" s="35"/>
      <c r="M592" s="36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</row>
    <row r="593" spans="1:29" ht="18.75" customHeight="1">
      <c r="A593" s="125" t="s">
        <v>140</v>
      </c>
      <c r="B593" s="103">
        <v>808</v>
      </c>
      <c r="C593" s="87" t="s">
        <v>43</v>
      </c>
      <c r="D593" s="87" t="s">
        <v>790</v>
      </c>
      <c r="E593" s="87" t="s">
        <v>144</v>
      </c>
      <c r="F593" s="87" t="s">
        <v>545</v>
      </c>
      <c r="G593" s="88">
        <v>34100.6</v>
      </c>
      <c r="H593" s="88">
        <v>33128.1</v>
      </c>
      <c r="I593" s="88">
        <v>34003.5</v>
      </c>
      <c r="J593" s="42"/>
      <c r="K593" s="35"/>
      <c r="L593" s="35"/>
      <c r="M593" s="36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</row>
    <row r="594" spans="1:29" ht="16.5">
      <c r="A594" s="131" t="s">
        <v>234</v>
      </c>
      <c r="B594" s="103">
        <v>808</v>
      </c>
      <c r="C594" s="87" t="s">
        <v>43</v>
      </c>
      <c r="D594" s="87" t="s">
        <v>790</v>
      </c>
      <c r="E594" s="87" t="s">
        <v>145</v>
      </c>
      <c r="F594" s="87"/>
      <c r="G594" s="88">
        <f>SUM(G595,G597)</f>
        <v>40265.200000000004</v>
      </c>
      <c r="H594" s="88">
        <f>SUM(H595,H597)</f>
        <v>33288.3</v>
      </c>
      <c r="I594" s="88">
        <f>SUM(I595,I597)</f>
        <v>33785.100000000006</v>
      </c>
      <c r="J594" s="42"/>
      <c r="K594" s="35"/>
      <c r="L594" s="35"/>
      <c r="M594" s="36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</row>
    <row r="595" spans="1:29" ht="18" customHeight="1">
      <c r="A595" s="131" t="s">
        <v>564</v>
      </c>
      <c r="B595" s="103">
        <v>808</v>
      </c>
      <c r="C595" s="87" t="s">
        <v>43</v>
      </c>
      <c r="D595" s="87" t="s">
        <v>790</v>
      </c>
      <c r="E595" s="87" t="s">
        <v>499</v>
      </c>
      <c r="F595" s="87"/>
      <c r="G595" s="88">
        <f>SUM(G596)</f>
        <v>459.3</v>
      </c>
      <c r="H595" s="88">
        <f>SUM(H596)</f>
        <v>459.3</v>
      </c>
      <c r="I595" s="88">
        <f>SUM(I596)</f>
        <v>459.3</v>
      </c>
      <c r="J595" s="42"/>
      <c r="K595" s="35"/>
      <c r="L595" s="35"/>
      <c r="M595" s="36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</row>
    <row r="596" spans="1:29" ht="18" customHeight="1">
      <c r="A596" s="125" t="s">
        <v>140</v>
      </c>
      <c r="B596" s="103">
        <v>808</v>
      </c>
      <c r="C596" s="87" t="s">
        <v>43</v>
      </c>
      <c r="D596" s="87" t="s">
        <v>790</v>
      </c>
      <c r="E596" s="87" t="s">
        <v>499</v>
      </c>
      <c r="F596" s="87" t="s">
        <v>545</v>
      </c>
      <c r="G596" s="88">
        <v>459.3</v>
      </c>
      <c r="H596" s="88">
        <v>459.3</v>
      </c>
      <c r="I596" s="88">
        <v>459.3</v>
      </c>
      <c r="J596" s="42"/>
      <c r="K596" s="35"/>
      <c r="L596" s="35"/>
      <c r="M596" s="36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</row>
    <row r="597" spans="1:29" s="48" customFormat="1" ht="18" customHeight="1">
      <c r="A597" s="131" t="s">
        <v>389</v>
      </c>
      <c r="B597" s="103">
        <v>808</v>
      </c>
      <c r="C597" s="87" t="s">
        <v>43</v>
      </c>
      <c r="D597" s="87" t="s">
        <v>790</v>
      </c>
      <c r="E597" s="87" t="s">
        <v>146</v>
      </c>
      <c r="F597" s="87"/>
      <c r="G597" s="88">
        <f>SUM(G598)</f>
        <v>39805.9</v>
      </c>
      <c r="H597" s="88">
        <f>SUM(H598)</f>
        <v>32829</v>
      </c>
      <c r="I597" s="88">
        <f>SUM(I598)</f>
        <v>33325.8</v>
      </c>
      <c r="J597" s="42"/>
      <c r="K597" s="35"/>
      <c r="L597" s="35"/>
      <c r="M597" s="36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5"/>
    </row>
    <row r="598" spans="1:29" s="49" customFormat="1" ht="18.75" customHeight="1">
      <c r="A598" s="125" t="s">
        <v>140</v>
      </c>
      <c r="B598" s="103">
        <v>808</v>
      </c>
      <c r="C598" s="87" t="s">
        <v>43</v>
      </c>
      <c r="D598" s="87" t="s">
        <v>790</v>
      </c>
      <c r="E598" s="87" t="s">
        <v>146</v>
      </c>
      <c r="F598" s="87" t="s">
        <v>545</v>
      </c>
      <c r="G598" s="88">
        <v>39805.9</v>
      </c>
      <c r="H598" s="88">
        <v>32829</v>
      </c>
      <c r="I598" s="88">
        <v>33325.8</v>
      </c>
      <c r="J598" s="42"/>
      <c r="K598" s="35"/>
      <c r="L598" s="35"/>
      <c r="M598" s="36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</row>
    <row r="599" spans="1:29" ht="22.5" customHeight="1">
      <c r="A599" s="125" t="s">
        <v>657</v>
      </c>
      <c r="B599" s="103">
        <v>808</v>
      </c>
      <c r="C599" s="87" t="s">
        <v>43</v>
      </c>
      <c r="D599" s="87" t="s">
        <v>790</v>
      </c>
      <c r="E599" s="87" t="s">
        <v>160</v>
      </c>
      <c r="F599" s="87"/>
      <c r="G599" s="88">
        <f>SUM(G600,G602)</f>
        <v>41137.600000000006</v>
      </c>
      <c r="H599" s="88">
        <f>SUM(H600,H602)</f>
        <v>37470.8</v>
      </c>
      <c r="I599" s="88">
        <f>SUM(I600,I602)</f>
        <v>37728.3</v>
      </c>
      <c r="J599" s="42"/>
      <c r="K599" s="35"/>
      <c r="L599" s="35"/>
      <c r="M599" s="36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</row>
    <row r="600" spans="1:29" ht="19.5" customHeight="1">
      <c r="A600" s="131" t="s">
        <v>475</v>
      </c>
      <c r="B600" s="103">
        <v>808</v>
      </c>
      <c r="C600" s="87" t="s">
        <v>43</v>
      </c>
      <c r="D600" s="87" t="s">
        <v>790</v>
      </c>
      <c r="E600" s="87" t="s">
        <v>500</v>
      </c>
      <c r="F600" s="87"/>
      <c r="G600" s="88">
        <f>SUM(G601)</f>
        <v>335.8</v>
      </c>
      <c r="H600" s="88">
        <f>SUM(H601)</f>
        <v>335.8</v>
      </c>
      <c r="I600" s="88">
        <f>SUM(I601)</f>
        <v>335.8</v>
      </c>
      <c r="J600" s="42"/>
      <c r="K600" s="35"/>
      <c r="L600" s="35"/>
      <c r="M600" s="36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</row>
    <row r="601" spans="1:29" ht="18.75" customHeight="1">
      <c r="A601" s="125" t="s">
        <v>836</v>
      </c>
      <c r="B601" s="103">
        <v>808</v>
      </c>
      <c r="C601" s="87" t="s">
        <v>43</v>
      </c>
      <c r="D601" s="87" t="s">
        <v>790</v>
      </c>
      <c r="E601" s="87" t="s">
        <v>500</v>
      </c>
      <c r="F601" s="87" t="s">
        <v>545</v>
      </c>
      <c r="G601" s="88">
        <v>335.8</v>
      </c>
      <c r="H601" s="88">
        <v>335.8</v>
      </c>
      <c r="I601" s="88">
        <v>335.8</v>
      </c>
      <c r="J601" s="42"/>
      <c r="K601" s="35"/>
      <c r="L601" s="35"/>
      <c r="M601" s="36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</row>
    <row r="602" spans="1:29" ht="18.75" customHeight="1">
      <c r="A602" s="131" t="s">
        <v>389</v>
      </c>
      <c r="B602" s="103">
        <v>808</v>
      </c>
      <c r="C602" s="87" t="s">
        <v>43</v>
      </c>
      <c r="D602" s="87" t="s">
        <v>790</v>
      </c>
      <c r="E602" s="87" t="s">
        <v>161</v>
      </c>
      <c r="F602" s="87"/>
      <c r="G602" s="88">
        <f>SUM(G603)</f>
        <v>40801.8</v>
      </c>
      <c r="H602" s="88">
        <f>SUM(H603)</f>
        <v>37135</v>
      </c>
      <c r="I602" s="88">
        <f>SUM(I603)</f>
        <v>37392.5</v>
      </c>
      <c r="J602" s="42"/>
      <c r="K602" s="35"/>
      <c r="L602" s="35"/>
      <c r="M602" s="36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</row>
    <row r="603" spans="1:29" ht="18.75" customHeight="1">
      <c r="A603" s="125" t="s">
        <v>140</v>
      </c>
      <c r="B603" s="103">
        <v>808</v>
      </c>
      <c r="C603" s="87" t="s">
        <v>43</v>
      </c>
      <c r="D603" s="87" t="s">
        <v>790</v>
      </c>
      <c r="E603" s="87" t="s">
        <v>161</v>
      </c>
      <c r="F603" s="87" t="s">
        <v>545</v>
      </c>
      <c r="G603" s="88">
        <v>40801.8</v>
      </c>
      <c r="H603" s="88">
        <v>37135</v>
      </c>
      <c r="I603" s="88">
        <v>37392.5</v>
      </c>
      <c r="J603" s="42"/>
      <c r="K603" s="35"/>
      <c r="L603" s="35"/>
      <c r="M603" s="36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</row>
    <row r="604" spans="1:29" ht="30.75" customHeight="1" hidden="1">
      <c r="A604" s="145" t="s">
        <v>552</v>
      </c>
      <c r="B604" s="103">
        <v>808</v>
      </c>
      <c r="C604" s="87" t="s">
        <v>43</v>
      </c>
      <c r="D604" s="87" t="s">
        <v>790</v>
      </c>
      <c r="E604" s="87" t="s">
        <v>161</v>
      </c>
      <c r="F604" s="109" t="s">
        <v>551</v>
      </c>
      <c r="G604" s="88"/>
      <c r="H604" s="88"/>
      <c r="I604" s="88"/>
      <c r="J604" s="42"/>
      <c r="K604" s="35"/>
      <c r="L604" s="35"/>
      <c r="M604" s="36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5"/>
    </row>
    <row r="605" spans="1:29" ht="18.75" customHeight="1" hidden="1">
      <c r="A605" s="146" t="s">
        <v>558</v>
      </c>
      <c r="B605" s="103">
        <v>808</v>
      </c>
      <c r="C605" s="87" t="s">
        <v>43</v>
      </c>
      <c r="D605" s="87" t="s">
        <v>790</v>
      </c>
      <c r="E605" s="87" t="s">
        <v>161</v>
      </c>
      <c r="F605" s="87" t="s">
        <v>559</v>
      </c>
      <c r="G605" s="88"/>
      <c r="H605" s="88"/>
      <c r="I605" s="88"/>
      <c r="J605" s="42"/>
      <c r="K605" s="35"/>
      <c r="L605" s="35"/>
      <c r="M605" s="36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</row>
    <row r="606" spans="1:29" ht="33.75" customHeight="1" hidden="1">
      <c r="A606" s="125" t="s">
        <v>772</v>
      </c>
      <c r="B606" s="103">
        <v>808</v>
      </c>
      <c r="C606" s="87" t="s">
        <v>43</v>
      </c>
      <c r="D606" s="87" t="s">
        <v>790</v>
      </c>
      <c r="E606" s="87" t="s">
        <v>162</v>
      </c>
      <c r="F606" s="87"/>
      <c r="G606" s="88">
        <f>SUM(G607)</f>
        <v>5582.5</v>
      </c>
      <c r="H606" s="88">
        <f>SUM(H607)</f>
        <v>0</v>
      </c>
      <c r="I606" s="88">
        <f>SUM(I607)</f>
        <v>0</v>
      </c>
      <c r="J606" s="42"/>
      <c r="K606" s="35"/>
      <c r="L606" s="35"/>
      <c r="M606" s="36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</row>
    <row r="607" spans="1:29" ht="33" customHeight="1" hidden="1">
      <c r="A607" s="132" t="s">
        <v>163</v>
      </c>
      <c r="B607" s="103">
        <v>808</v>
      </c>
      <c r="C607" s="87" t="s">
        <v>43</v>
      </c>
      <c r="D607" s="87" t="s">
        <v>790</v>
      </c>
      <c r="E607" s="87" t="s">
        <v>164</v>
      </c>
      <c r="F607" s="87"/>
      <c r="G607" s="88">
        <f>G608</f>
        <v>5582.5</v>
      </c>
      <c r="H607" s="88">
        <f>H608</f>
        <v>0</v>
      </c>
      <c r="I607" s="88">
        <f>I608</f>
        <v>0</v>
      </c>
      <c r="J607" s="42"/>
      <c r="K607" s="35"/>
      <c r="L607" s="35"/>
      <c r="M607" s="36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</row>
    <row r="608" spans="1:29" ht="21" customHeight="1" hidden="1">
      <c r="A608" s="132" t="s">
        <v>535</v>
      </c>
      <c r="B608" s="103">
        <v>808</v>
      </c>
      <c r="C608" s="87" t="s">
        <v>43</v>
      </c>
      <c r="D608" s="87" t="s">
        <v>790</v>
      </c>
      <c r="E608" s="87" t="s">
        <v>164</v>
      </c>
      <c r="F608" s="87" t="s">
        <v>284</v>
      </c>
      <c r="G608" s="88">
        <f>5266.5+316</f>
        <v>5582.5</v>
      </c>
      <c r="H608" s="88"/>
      <c r="I608" s="88"/>
      <c r="J608" s="42"/>
      <c r="K608" s="35"/>
      <c r="L608" s="35"/>
      <c r="M608" s="36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</row>
    <row r="609" spans="1:29" ht="21" customHeight="1">
      <c r="A609" s="124" t="s">
        <v>380</v>
      </c>
      <c r="B609" s="103">
        <v>808</v>
      </c>
      <c r="C609" s="87" t="s">
        <v>43</v>
      </c>
      <c r="D609" s="87" t="s">
        <v>790</v>
      </c>
      <c r="E609" s="87" t="s">
        <v>381</v>
      </c>
      <c r="F609" s="87"/>
      <c r="G609" s="88">
        <f>SUM(G610,G612,G614,G616)</f>
        <v>3594.2</v>
      </c>
      <c r="H609" s="88">
        <f>SUM(H610,H612,H614,H616)</f>
        <v>157</v>
      </c>
      <c r="I609" s="88">
        <f>SUM(I610,I612,I614,I616)</f>
        <v>387.5</v>
      </c>
      <c r="J609" s="42"/>
      <c r="K609" s="35"/>
      <c r="L609" s="35"/>
      <c r="M609" s="36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</row>
    <row r="610" spans="1:29" ht="36" customHeight="1" hidden="1">
      <c r="A610" s="125" t="s">
        <v>525</v>
      </c>
      <c r="B610" s="103">
        <v>808</v>
      </c>
      <c r="C610" s="87" t="s">
        <v>43</v>
      </c>
      <c r="D610" s="87" t="s">
        <v>790</v>
      </c>
      <c r="E610" s="87" t="s">
        <v>299</v>
      </c>
      <c r="F610" s="87"/>
      <c r="G610" s="88">
        <f>SUM(G611)</f>
        <v>350</v>
      </c>
      <c r="H610" s="88">
        <f>SUM(H611)</f>
        <v>0</v>
      </c>
      <c r="I610" s="88">
        <f>SUM(I611)</f>
        <v>0</v>
      </c>
      <c r="J610" s="42"/>
      <c r="K610" s="35"/>
      <c r="L610" s="35"/>
      <c r="M610" s="36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</row>
    <row r="611" spans="1:29" ht="32.25" customHeight="1" hidden="1">
      <c r="A611" s="132" t="s">
        <v>165</v>
      </c>
      <c r="B611" s="103">
        <v>808</v>
      </c>
      <c r="C611" s="87" t="s">
        <v>43</v>
      </c>
      <c r="D611" s="87" t="s">
        <v>790</v>
      </c>
      <c r="E611" s="87" t="s">
        <v>299</v>
      </c>
      <c r="F611" s="87" t="s">
        <v>285</v>
      </c>
      <c r="G611" s="88">
        <v>350</v>
      </c>
      <c r="H611" s="88"/>
      <c r="I611" s="88"/>
      <c r="J611" s="42"/>
      <c r="K611" s="35"/>
      <c r="L611" s="35"/>
      <c r="M611" s="36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</row>
    <row r="612" spans="1:29" ht="33" customHeight="1" hidden="1">
      <c r="A612" s="132" t="s">
        <v>770</v>
      </c>
      <c r="B612" s="103">
        <v>808</v>
      </c>
      <c r="C612" s="87" t="s">
        <v>43</v>
      </c>
      <c r="D612" s="87" t="s">
        <v>790</v>
      </c>
      <c r="E612" s="87" t="s">
        <v>281</v>
      </c>
      <c r="F612" s="87"/>
      <c r="G612" s="88">
        <f>SUM(G613)</f>
        <v>2774</v>
      </c>
      <c r="H612" s="88">
        <f>SUM(H613)</f>
        <v>0</v>
      </c>
      <c r="I612" s="88">
        <f>SUM(I613)</f>
        <v>0</v>
      </c>
      <c r="J612" s="42"/>
      <c r="K612" s="35"/>
      <c r="L612" s="35"/>
      <c r="M612" s="36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5"/>
    </row>
    <row r="613" spans="1:29" ht="36" customHeight="1" hidden="1">
      <c r="A613" s="132" t="s">
        <v>165</v>
      </c>
      <c r="B613" s="103">
        <v>808</v>
      </c>
      <c r="C613" s="87" t="s">
        <v>43</v>
      </c>
      <c r="D613" s="87" t="s">
        <v>790</v>
      </c>
      <c r="E613" s="87" t="s">
        <v>281</v>
      </c>
      <c r="F613" s="87" t="s">
        <v>285</v>
      </c>
      <c r="G613" s="88">
        <v>2774</v>
      </c>
      <c r="H613" s="88"/>
      <c r="I613" s="88"/>
      <c r="J613" s="42"/>
      <c r="K613" s="35"/>
      <c r="L613" s="35"/>
      <c r="M613" s="36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</row>
    <row r="614" spans="1:29" ht="52.5" customHeight="1">
      <c r="A614" s="132" t="s">
        <v>150</v>
      </c>
      <c r="B614" s="103">
        <v>808</v>
      </c>
      <c r="C614" s="87" t="s">
        <v>43</v>
      </c>
      <c r="D614" s="87" t="s">
        <v>790</v>
      </c>
      <c r="E614" s="87" t="s">
        <v>427</v>
      </c>
      <c r="F614" s="87"/>
      <c r="G614" s="88">
        <f>G615</f>
        <v>100</v>
      </c>
      <c r="H614" s="88">
        <f>H615</f>
        <v>100</v>
      </c>
      <c r="I614" s="88">
        <f>I615</f>
        <v>100</v>
      </c>
      <c r="J614" s="42"/>
      <c r="K614" s="35"/>
      <c r="L614" s="35"/>
      <c r="M614" s="36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</row>
    <row r="615" spans="1:29" ht="36.75" customHeight="1">
      <c r="A615" s="132" t="s">
        <v>784</v>
      </c>
      <c r="B615" s="103">
        <v>808</v>
      </c>
      <c r="C615" s="87" t="s">
        <v>43</v>
      </c>
      <c r="D615" s="87" t="s">
        <v>790</v>
      </c>
      <c r="E615" s="87" t="s">
        <v>427</v>
      </c>
      <c r="F615" s="87" t="s">
        <v>285</v>
      </c>
      <c r="G615" s="88">
        <v>100</v>
      </c>
      <c r="H615" s="88">
        <v>100</v>
      </c>
      <c r="I615" s="88">
        <v>100</v>
      </c>
      <c r="J615" s="42"/>
      <c r="K615" s="35"/>
      <c r="L615" s="35"/>
      <c r="M615" s="36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</row>
    <row r="616" spans="1:29" ht="34.5" customHeight="1">
      <c r="A616" s="124" t="s">
        <v>724</v>
      </c>
      <c r="B616" s="103">
        <v>808</v>
      </c>
      <c r="C616" s="87" t="s">
        <v>43</v>
      </c>
      <c r="D616" s="87" t="s">
        <v>790</v>
      </c>
      <c r="E616" s="87" t="s">
        <v>433</v>
      </c>
      <c r="F616" s="87"/>
      <c r="G616" s="88">
        <f>G617</f>
        <v>370.2</v>
      </c>
      <c r="H616" s="88">
        <f>H617</f>
        <v>57</v>
      </c>
      <c r="I616" s="88">
        <f>I617</f>
        <v>287.5</v>
      </c>
      <c r="J616" s="42"/>
      <c r="K616" s="35"/>
      <c r="L616" s="35"/>
      <c r="M616" s="36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</row>
    <row r="617" spans="1:29" ht="36.75" customHeight="1">
      <c r="A617" s="132" t="s">
        <v>165</v>
      </c>
      <c r="B617" s="103">
        <v>808</v>
      </c>
      <c r="C617" s="87" t="s">
        <v>43</v>
      </c>
      <c r="D617" s="87" t="s">
        <v>790</v>
      </c>
      <c r="E617" s="87" t="s">
        <v>433</v>
      </c>
      <c r="F617" s="87" t="s">
        <v>285</v>
      </c>
      <c r="G617" s="88">
        <v>370.2</v>
      </c>
      <c r="H617" s="88">
        <v>57</v>
      </c>
      <c r="I617" s="88">
        <v>287.5</v>
      </c>
      <c r="J617" s="42"/>
      <c r="K617" s="35"/>
      <c r="L617" s="35"/>
      <c r="M617" s="36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</row>
    <row r="618" spans="1:29" ht="21" customHeight="1">
      <c r="A618" s="125" t="s">
        <v>220</v>
      </c>
      <c r="B618" s="103">
        <v>808</v>
      </c>
      <c r="C618" s="87" t="s">
        <v>43</v>
      </c>
      <c r="D618" s="87" t="s">
        <v>793</v>
      </c>
      <c r="E618" s="87"/>
      <c r="F618" s="87"/>
      <c r="G618" s="88">
        <f>G619+G622+G627</f>
        <v>13297.9</v>
      </c>
      <c r="H618" s="88">
        <f>H619+H622+H627</f>
        <v>13568.100000000002</v>
      </c>
      <c r="I618" s="88">
        <f>I619+I622+I627</f>
        <v>13754.400000000001</v>
      </c>
      <c r="J618" s="42"/>
      <c r="K618" s="35"/>
      <c r="L618" s="35"/>
      <c r="M618" s="36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</row>
    <row r="619" spans="1:29" ht="52.5" customHeight="1">
      <c r="A619" s="125" t="s">
        <v>26</v>
      </c>
      <c r="B619" s="103">
        <v>808</v>
      </c>
      <c r="C619" s="87" t="s">
        <v>43</v>
      </c>
      <c r="D619" s="87" t="s">
        <v>793</v>
      </c>
      <c r="E619" s="87" t="s">
        <v>27</v>
      </c>
      <c r="F619" s="87"/>
      <c r="G619" s="88">
        <f aca="true" t="shared" si="61" ref="G619:I620">SUM(G620)</f>
        <v>4333</v>
      </c>
      <c r="H619" s="88">
        <f t="shared" si="61"/>
        <v>4283.200000000001</v>
      </c>
      <c r="I619" s="88">
        <f t="shared" si="61"/>
        <v>4294.200000000001</v>
      </c>
      <c r="J619" s="42"/>
      <c r="K619" s="35"/>
      <c r="L619" s="35"/>
      <c r="M619" s="36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</row>
    <row r="620" spans="1:29" ht="18" customHeight="1">
      <c r="A620" s="125" t="s">
        <v>31</v>
      </c>
      <c r="B620" s="103">
        <v>808</v>
      </c>
      <c r="C620" s="87" t="s">
        <v>43</v>
      </c>
      <c r="D620" s="87" t="s">
        <v>793</v>
      </c>
      <c r="E620" s="87" t="s">
        <v>29</v>
      </c>
      <c r="F620" s="87"/>
      <c r="G620" s="88">
        <f t="shared" si="61"/>
        <v>4333</v>
      </c>
      <c r="H620" s="88">
        <f t="shared" si="61"/>
        <v>4283.200000000001</v>
      </c>
      <c r="I620" s="88">
        <f t="shared" si="61"/>
        <v>4294.200000000001</v>
      </c>
      <c r="J620" s="42"/>
      <c r="K620" s="35"/>
      <c r="L620" s="35"/>
      <c r="M620" s="36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</row>
    <row r="621" spans="1:29" ht="20.25" customHeight="1">
      <c r="A621" s="124" t="s">
        <v>690</v>
      </c>
      <c r="B621" s="103">
        <v>808</v>
      </c>
      <c r="C621" s="87" t="s">
        <v>43</v>
      </c>
      <c r="D621" s="87" t="s">
        <v>793</v>
      </c>
      <c r="E621" s="87" t="s">
        <v>29</v>
      </c>
      <c r="F621" s="87" t="s">
        <v>197</v>
      </c>
      <c r="G621" s="88">
        <f>4265.9+67.1</f>
        <v>4333</v>
      </c>
      <c r="H621" s="88">
        <f>4216.1+67.1</f>
        <v>4283.200000000001</v>
      </c>
      <c r="I621" s="88">
        <f>4227.1+67.1</f>
        <v>4294.200000000001</v>
      </c>
      <c r="J621" s="42"/>
      <c r="K621" s="35"/>
      <c r="L621" s="35"/>
      <c r="M621" s="36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</row>
    <row r="622" spans="1:29" ht="54" customHeight="1">
      <c r="A622" s="125" t="s">
        <v>652</v>
      </c>
      <c r="B622" s="103">
        <v>808</v>
      </c>
      <c r="C622" s="87" t="s">
        <v>43</v>
      </c>
      <c r="D622" s="87" t="s">
        <v>793</v>
      </c>
      <c r="E622" s="87" t="s">
        <v>532</v>
      </c>
      <c r="F622" s="87"/>
      <c r="G622" s="88">
        <f>SUM(G623,G625)</f>
        <v>8217.1</v>
      </c>
      <c r="H622" s="88">
        <f>SUM(H623,H625)</f>
        <v>8322.2</v>
      </c>
      <c r="I622" s="88">
        <f>SUM(I623,I625)</f>
        <v>8432.2</v>
      </c>
      <c r="J622" s="42"/>
      <c r="K622" s="35"/>
      <c r="L622" s="35"/>
      <c r="M622" s="36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</row>
    <row r="623" spans="1:29" ht="21" customHeight="1">
      <c r="A623" s="131" t="s">
        <v>475</v>
      </c>
      <c r="B623" s="103">
        <v>808</v>
      </c>
      <c r="C623" s="87" t="s">
        <v>43</v>
      </c>
      <c r="D623" s="87" t="s">
        <v>793</v>
      </c>
      <c r="E623" s="87" t="s">
        <v>479</v>
      </c>
      <c r="F623" s="87"/>
      <c r="G623" s="88">
        <f>SUM(G624)</f>
        <v>60.2</v>
      </c>
      <c r="H623" s="88">
        <f>SUM(H624)</f>
        <v>60.2</v>
      </c>
      <c r="I623" s="88">
        <f>SUM(I624)</f>
        <v>60.2</v>
      </c>
      <c r="J623" s="42"/>
      <c r="K623" s="35"/>
      <c r="L623" s="35"/>
      <c r="M623" s="36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</row>
    <row r="624" spans="1:29" ht="21.75" customHeight="1">
      <c r="A624" s="125" t="s">
        <v>140</v>
      </c>
      <c r="B624" s="103">
        <v>808</v>
      </c>
      <c r="C624" s="87" t="s">
        <v>43</v>
      </c>
      <c r="D624" s="87" t="s">
        <v>793</v>
      </c>
      <c r="E624" s="87" t="s">
        <v>479</v>
      </c>
      <c r="F624" s="87" t="s">
        <v>545</v>
      </c>
      <c r="G624" s="88">
        <v>60.2</v>
      </c>
      <c r="H624" s="88">
        <v>60.2</v>
      </c>
      <c r="I624" s="88">
        <v>60.2</v>
      </c>
      <c r="J624" s="42"/>
      <c r="K624" s="35"/>
      <c r="L624" s="35"/>
      <c r="M624" s="36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/>
    </row>
    <row r="625" spans="1:29" ht="19.5" customHeight="1">
      <c r="A625" s="131" t="s">
        <v>389</v>
      </c>
      <c r="B625" s="103">
        <v>808</v>
      </c>
      <c r="C625" s="87" t="s">
        <v>43</v>
      </c>
      <c r="D625" s="87" t="s">
        <v>793</v>
      </c>
      <c r="E625" s="87" t="s">
        <v>533</v>
      </c>
      <c r="F625" s="87"/>
      <c r="G625" s="88">
        <f>SUM(G626)</f>
        <v>8156.9</v>
      </c>
      <c r="H625" s="88">
        <f>SUM(H626)</f>
        <v>8262</v>
      </c>
      <c r="I625" s="88">
        <f>SUM(I626)</f>
        <v>8372</v>
      </c>
      <c r="J625" s="42"/>
      <c r="K625" s="35"/>
      <c r="L625" s="35"/>
      <c r="M625" s="36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</row>
    <row r="626" spans="1:29" ht="19.5" customHeight="1">
      <c r="A626" s="125" t="s">
        <v>140</v>
      </c>
      <c r="B626" s="103">
        <v>808</v>
      </c>
      <c r="C626" s="87" t="s">
        <v>43</v>
      </c>
      <c r="D626" s="87" t="s">
        <v>793</v>
      </c>
      <c r="E626" s="87" t="s">
        <v>533</v>
      </c>
      <c r="F626" s="87" t="s">
        <v>545</v>
      </c>
      <c r="G626" s="88">
        <v>8156.9</v>
      </c>
      <c r="H626" s="88">
        <v>8262</v>
      </c>
      <c r="I626" s="88">
        <v>8372</v>
      </c>
      <c r="J626" s="42"/>
      <c r="K626" s="35"/>
      <c r="L626" s="35"/>
      <c r="M626" s="36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</row>
    <row r="627" spans="1:29" ht="19.5" customHeight="1">
      <c r="A627" s="140" t="s">
        <v>351</v>
      </c>
      <c r="B627" s="103">
        <v>808</v>
      </c>
      <c r="C627" s="87" t="s">
        <v>43</v>
      </c>
      <c r="D627" s="87" t="s">
        <v>793</v>
      </c>
      <c r="E627" s="87" t="s">
        <v>343</v>
      </c>
      <c r="F627" s="87"/>
      <c r="G627" s="88">
        <f>G628</f>
        <v>747.8</v>
      </c>
      <c r="H627" s="88">
        <f>H628</f>
        <v>962.7</v>
      </c>
      <c r="I627" s="88">
        <f>I628</f>
        <v>1028</v>
      </c>
      <c r="J627" s="42"/>
      <c r="K627" s="35"/>
      <c r="L627" s="35"/>
      <c r="M627" s="36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</row>
    <row r="628" spans="1:29" ht="19.5" customHeight="1">
      <c r="A628" s="140" t="s">
        <v>347</v>
      </c>
      <c r="B628" s="103">
        <v>808</v>
      </c>
      <c r="C628" s="87" t="s">
        <v>43</v>
      </c>
      <c r="D628" s="87" t="s">
        <v>793</v>
      </c>
      <c r="E628" s="87" t="s">
        <v>344</v>
      </c>
      <c r="F628" s="87"/>
      <c r="G628" s="88">
        <f>G629+G631</f>
        <v>747.8</v>
      </c>
      <c r="H628" s="88">
        <f>H629+H631</f>
        <v>962.7</v>
      </c>
      <c r="I628" s="88">
        <f>I629+I631</f>
        <v>1028</v>
      </c>
      <c r="J628" s="42"/>
      <c r="K628" s="35"/>
      <c r="L628" s="35"/>
      <c r="M628" s="36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</row>
    <row r="629" spans="1:29" ht="19.5" customHeight="1">
      <c r="A629" s="131" t="s">
        <v>199</v>
      </c>
      <c r="B629" s="103">
        <v>808</v>
      </c>
      <c r="C629" s="87" t="s">
        <v>43</v>
      </c>
      <c r="D629" s="87" t="s">
        <v>793</v>
      </c>
      <c r="E629" s="87" t="s">
        <v>354</v>
      </c>
      <c r="F629" s="87"/>
      <c r="G629" s="88">
        <f>G630</f>
        <v>662.8</v>
      </c>
      <c r="H629" s="88">
        <f>H630</f>
        <v>826.7</v>
      </c>
      <c r="I629" s="88">
        <f>I630</f>
        <v>934</v>
      </c>
      <c r="J629" s="42"/>
      <c r="K629" s="35"/>
      <c r="L629" s="35"/>
      <c r="M629" s="36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5"/>
    </row>
    <row r="630" spans="1:29" ht="36.75" customHeight="1">
      <c r="A630" s="132" t="s">
        <v>165</v>
      </c>
      <c r="B630" s="103">
        <v>808</v>
      </c>
      <c r="C630" s="87" t="s">
        <v>43</v>
      </c>
      <c r="D630" s="87" t="s">
        <v>793</v>
      </c>
      <c r="E630" s="87" t="s">
        <v>354</v>
      </c>
      <c r="F630" s="87" t="s">
        <v>285</v>
      </c>
      <c r="G630" s="88">
        <v>662.8</v>
      </c>
      <c r="H630" s="88">
        <v>826.7</v>
      </c>
      <c r="I630" s="88">
        <v>934</v>
      </c>
      <c r="J630" s="42"/>
      <c r="K630" s="35"/>
      <c r="L630" s="35"/>
      <c r="M630" s="36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</row>
    <row r="631" spans="1:29" ht="18.75" customHeight="1">
      <c r="A631" s="131" t="s">
        <v>764</v>
      </c>
      <c r="B631" s="103">
        <v>808</v>
      </c>
      <c r="C631" s="87" t="s">
        <v>43</v>
      </c>
      <c r="D631" s="87" t="s">
        <v>793</v>
      </c>
      <c r="E631" s="87" t="s">
        <v>350</v>
      </c>
      <c r="F631" s="87"/>
      <c r="G631" s="88">
        <f>SUM(G632)</f>
        <v>85</v>
      </c>
      <c r="H631" s="88">
        <f>SUM(H632)</f>
        <v>136</v>
      </c>
      <c r="I631" s="88">
        <f>SUM(I632)</f>
        <v>94</v>
      </c>
      <c r="J631" s="42"/>
      <c r="K631" s="35"/>
      <c r="L631" s="35"/>
      <c r="M631" s="36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</row>
    <row r="632" spans="1:29" ht="36" customHeight="1">
      <c r="A632" s="132" t="s">
        <v>235</v>
      </c>
      <c r="B632" s="103">
        <v>808</v>
      </c>
      <c r="C632" s="87" t="s">
        <v>43</v>
      </c>
      <c r="D632" s="87" t="s">
        <v>793</v>
      </c>
      <c r="E632" s="87" t="s">
        <v>350</v>
      </c>
      <c r="F632" s="87" t="s">
        <v>285</v>
      </c>
      <c r="G632" s="88">
        <v>85</v>
      </c>
      <c r="H632" s="88">
        <v>136</v>
      </c>
      <c r="I632" s="88">
        <v>94</v>
      </c>
      <c r="J632" s="42"/>
      <c r="K632" s="35"/>
      <c r="L632" s="35"/>
      <c r="M632" s="36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</row>
    <row r="633" spans="1:29" ht="20.25" customHeight="1" hidden="1">
      <c r="A633" s="140" t="s">
        <v>413</v>
      </c>
      <c r="B633" s="103">
        <v>808</v>
      </c>
      <c r="C633" s="87" t="s">
        <v>471</v>
      </c>
      <c r="D633" s="87"/>
      <c r="E633" s="87"/>
      <c r="F633" s="87"/>
      <c r="G633" s="88">
        <f aca="true" t="shared" si="62" ref="G633:I637">G634</f>
        <v>613.2</v>
      </c>
      <c r="H633" s="88">
        <f t="shared" si="62"/>
        <v>0</v>
      </c>
      <c r="I633" s="88">
        <f t="shared" si="62"/>
        <v>0</v>
      </c>
      <c r="J633" s="42"/>
      <c r="K633" s="35"/>
      <c r="L633" s="35"/>
      <c r="M633" s="36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5"/>
    </row>
    <row r="634" spans="1:29" ht="17.25" customHeight="1" hidden="1">
      <c r="A634" s="131" t="s">
        <v>472</v>
      </c>
      <c r="B634" s="103">
        <v>808</v>
      </c>
      <c r="C634" s="87" t="s">
        <v>471</v>
      </c>
      <c r="D634" s="87" t="s">
        <v>794</v>
      </c>
      <c r="E634" s="87"/>
      <c r="F634" s="87"/>
      <c r="G634" s="88">
        <f t="shared" si="62"/>
        <v>613.2</v>
      </c>
      <c r="H634" s="88">
        <f t="shared" si="62"/>
        <v>0</v>
      </c>
      <c r="I634" s="88">
        <f t="shared" si="62"/>
        <v>0</v>
      </c>
      <c r="J634" s="42"/>
      <c r="K634" s="35"/>
      <c r="L634" s="35"/>
      <c r="M634" s="36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</row>
    <row r="635" spans="1:29" ht="19.5" customHeight="1" hidden="1">
      <c r="A635" s="140" t="s">
        <v>351</v>
      </c>
      <c r="B635" s="103">
        <v>808</v>
      </c>
      <c r="C635" s="87" t="s">
        <v>471</v>
      </c>
      <c r="D635" s="87" t="s">
        <v>794</v>
      </c>
      <c r="E635" s="87" t="s">
        <v>343</v>
      </c>
      <c r="F635" s="87"/>
      <c r="G635" s="88">
        <f>G637</f>
        <v>613.2</v>
      </c>
      <c r="H635" s="88">
        <f>H637</f>
        <v>0</v>
      </c>
      <c r="I635" s="88">
        <f>I637</f>
        <v>0</v>
      </c>
      <c r="J635" s="42"/>
      <c r="K635" s="35"/>
      <c r="L635" s="35"/>
      <c r="M635" s="36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</row>
    <row r="636" spans="1:29" ht="19.5" customHeight="1" hidden="1">
      <c r="A636" s="140" t="s">
        <v>347</v>
      </c>
      <c r="B636" s="103">
        <v>808</v>
      </c>
      <c r="C636" s="87" t="s">
        <v>471</v>
      </c>
      <c r="D636" s="87" t="s">
        <v>794</v>
      </c>
      <c r="E636" s="87" t="s">
        <v>344</v>
      </c>
      <c r="F636" s="87"/>
      <c r="G636" s="88">
        <f>G637</f>
        <v>613.2</v>
      </c>
      <c r="H636" s="88">
        <f>H637</f>
        <v>0</v>
      </c>
      <c r="I636" s="88">
        <f>I637</f>
        <v>0</v>
      </c>
      <c r="J636" s="42"/>
      <c r="K636" s="35"/>
      <c r="L636" s="35"/>
      <c r="M636" s="36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5"/>
    </row>
    <row r="637" spans="1:29" ht="18" customHeight="1" hidden="1">
      <c r="A637" s="124" t="s">
        <v>352</v>
      </c>
      <c r="B637" s="103">
        <v>808</v>
      </c>
      <c r="C637" s="87" t="s">
        <v>471</v>
      </c>
      <c r="D637" s="87" t="s">
        <v>794</v>
      </c>
      <c r="E637" s="87" t="s">
        <v>353</v>
      </c>
      <c r="F637" s="87"/>
      <c r="G637" s="88">
        <f t="shared" si="62"/>
        <v>613.2</v>
      </c>
      <c r="H637" s="88">
        <f t="shared" si="62"/>
        <v>0</v>
      </c>
      <c r="I637" s="88">
        <f t="shared" si="62"/>
        <v>0</v>
      </c>
      <c r="J637" s="42"/>
      <c r="K637" s="35"/>
      <c r="L637" s="35"/>
      <c r="M637" s="36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</row>
    <row r="638" spans="1:29" ht="19.5" customHeight="1" hidden="1">
      <c r="A638" s="124" t="s">
        <v>503</v>
      </c>
      <c r="B638" s="103">
        <v>808</v>
      </c>
      <c r="C638" s="87" t="s">
        <v>471</v>
      </c>
      <c r="D638" s="87" t="s">
        <v>794</v>
      </c>
      <c r="E638" s="87" t="s">
        <v>353</v>
      </c>
      <c r="F638" s="87" t="s">
        <v>39</v>
      </c>
      <c r="G638" s="88">
        <v>613.2</v>
      </c>
      <c r="H638" s="88"/>
      <c r="I638" s="88"/>
      <c r="J638" s="42"/>
      <c r="K638" s="35"/>
      <c r="L638" s="35"/>
      <c r="M638" s="36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</row>
    <row r="639" spans="1:29" ht="18" customHeight="1">
      <c r="A639" s="133" t="s">
        <v>89</v>
      </c>
      <c r="B639" s="103">
        <v>809</v>
      </c>
      <c r="C639" s="87"/>
      <c r="D639" s="87"/>
      <c r="E639" s="87"/>
      <c r="F639" s="87"/>
      <c r="G639" s="88">
        <f>SUM(G650,G678,G640,G672)</f>
        <v>390889.4</v>
      </c>
      <c r="H639" s="88">
        <f>SUM(H650,H678,H640,H672)</f>
        <v>375751.4</v>
      </c>
      <c r="I639" s="88">
        <f>SUM(I650,I678,I640,I672)</f>
        <v>383701.7</v>
      </c>
      <c r="J639" s="42"/>
      <c r="K639" s="52"/>
      <c r="L639" s="35"/>
      <c r="M639" s="36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</row>
    <row r="640" spans="1:29" ht="20.25" customHeight="1" hidden="1">
      <c r="A640" s="133" t="s">
        <v>418</v>
      </c>
      <c r="B640" s="103">
        <v>809</v>
      </c>
      <c r="C640" s="87" t="s">
        <v>793</v>
      </c>
      <c r="D640" s="87"/>
      <c r="E640" s="87"/>
      <c r="F640" s="87"/>
      <c r="G640" s="88">
        <f>G641</f>
        <v>0</v>
      </c>
      <c r="H640" s="88">
        <f>H641</f>
        <v>0</v>
      </c>
      <c r="I640" s="88">
        <f>I641</f>
        <v>0</v>
      </c>
      <c r="J640" s="42"/>
      <c r="K640" s="52"/>
      <c r="L640" s="35"/>
      <c r="M640" s="36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5"/>
    </row>
    <row r="641" spans="1:29" ht="20.25" customHeight="1" hidden="1">
      <c r="A641" s="124" t="s">
        <v>756</v>
      </c>
      <c r="B641" s="103">
        <v>809</v>
      </c>
      <c r="C641" s="87" t="s">
        <v>793</v>
      </c>
      <c r="D641" s="87" t="s">
        <v>790</v>
      </c>
      <c r="E641" s="87"/>
      <c r="F641" s="87"/>
      <c r="G641" s="88">
        <f>G642+G647</f>
        <v>0</v>
      </c>
      <c r="H641" s="88">
        <f>H642+H647</f>
        <v>0</v>
      </c>
      <c r="I641" s="88">
        <f>I642+I647</f>
        <v>0</v>
      </c>
      <c r="J641" s="42"/>
      <c r="K641" s="52"/>
      <c r="L641" s="35"/>
      <c r="M641" s="36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5"/>
    </row>
    <row r="642" spans="1:29" ht="20.25" customHeight="1" hidden="1">
      <c r="A642" s="124" t="s">
        <v>758</v>
      </c>
      <c r="B642" s="103">
        <v>809</v>
      </c>
      <c r="C642" s="87" t="s">
        <v>793</v>
      </c>
      <c r="D642" s="87" t="s">
        <v>790</v>
      </c>
      <c r="E642" s="87" t="s">
        <v>757</v>
      </c>
      <c r="F642" s="87"/>
      <c r="G642" s="88">
        <f>G643+G645</f>
        <v>0</v>
      </c>
      <c r="H642" s="88">
        <f>H643+H645</f>
        <v>0</v>
      </c>
      <c r="I642" s="88">
        <f>I643+I645</f>
        <v>0</v>
      </c>
      <c r="J642" s="42"/>
      <c r="K642" s="52"/>
      <c r="L642" s="35"/>
      <c r="M642" s="36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</row>
    <row r="643" spans="1:29" ht="20.25" customHeight="1" hidden="1">
      <c r="A643" s="124" t="s">
        <v>760</v>
      </c>
      <c r="B643" s="103">
        <v>809</v>
      </c>
      <c r="C643" s="87" t="s">
        <v>793</v>
      </c>
      <c r="D643" s="87" t="s">
        <v>790</v>
      </c>
      <c r="E643" s="87" t="s">
        <v>759</v>
      </c>
      <c r="F643" s="87"/>
      <c r="G643" s="88">
        <f>G644</f>
        <v>0</v>
      </c>
      <c r="H643" s="88">
        <f>H644</f>
        <v>0</v>
      </c>
      <c r="I643" s="88">
        <f>I644</f>
        <v>0</v>
      </c>
      <c r="J643" s="42"/>
      <c r="K643" s="52"/>
      <c r="L643" s="35"/>
      <c r="M643" s="36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</row>
    <row r="644" spans="1:29" ht="20.25" customHeight="1" hidden="1">
      <c r="A644" s="125" t="s">
        <v>836</v>
      </c>
      <c r="B644" s="103">
        <v>809</v>
      </c>
      <c r="C644" s="87" t="s">
        <v>793</v>
      </c>
      <c r="D644" s="87" t="s">
        <v>790</v>
      </c>
      <c r="E644" s="87" t="s">
        <v>759</v>
      </c>
      <c r="F644" s="87" t="s">
        <v>545</v>
      </c>
      <c r="G644" s="88"/>
      <c r="H644" s="88"/>
      <c r="I644" s="88"/>
      <c r="J644" s="42"/>
      <c r="K644" s="52"/>
      <c r="L644" s="35"/>
      <c r="M644" s="36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5"/>
    </row>
    <row r="645" spans="1:29" ht="36.75" customHeight="1" hidden="1">
      <c r="A645" s="125" t="s">
        <v>568</v>
      </c>
      <c r="B645" s="103">
        <v>809</v>
      </c>
      <c r="C645" s="87" t="s">
        <v>793</v>
      </c>
      <c r="D645" s="87" t="s">
        <v>790</v>
      </c>
      <c r="E645" s="87" t="s">
        <v>567</v>
      </c>
      <c r="F645" s="87"/>
      <c r="G645" s="88">
        <f>SUM(G646)</f>
        <v>0</v>
      </c>
      <c r="H645" s="88">
        <f>SUM(H646)</f>
        <v>0</v>
      </c>
      <c r="I645" s="88">
        <f>SUM(I646)</f>
        <v>0</v>
      </c>
      <c r="J645" s="42"/>
      <c r="K645" s="52"/>
      <c r="L645" s="35"/>
      <c r="M645" s="36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5"/>
    </row>
    <row r="646" spans="1:29" ht="20.25" customHeight="1" hidden="1">
      <c r="A646" s="125" t="s">
        <v>836</v>
      </c>
      <c r="B646" s="103">
        <v>809</v>
      </c>
      <c r="C646" s="87" t="s">
        <v>793</v>
      </c>
      <c r="D646" s="87" t="s">
        <v>790</v>
      </c>
      <c r="E646" s="87" t="s">
        <v>567</v>
      </c>
      <c r="F646" s="87" t="s">
        <v>545</v>
      </c>
      <c r="G646" s="88"/>
      <c r="H646" s="88"/>
      <c r="I646" s="88"/>
      <c r="J646" s="42"/>
      <c r="K646" s="52"/>
      <c r="L646" s="57"/>
      <c r="M646" s="36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</row>
    <row r="647" spans="1:29" ht="20.25" customHeight="1" hidden="1">
      <c r="A647" s="125" t="s">
        <v>277</v>
      </c>
      <c r="B647" s="103">
        <v>809</v>
      </c>
      <c r="C647" s="87" t="s">
        <v>793</v>
      </c>
      <c r="D647" s="87" t="s">
        <v>790</v>
      </c>
      <c r="E647" s="87" t="s">
        <v>381</v>
      </c>
      <c r="F647" s="87"/>
      <c r="G647" s="88">
        <f aca="true" t="shared" si="63" ref="G647:I648">SUM(G648)</f>
        <v>0</v>
      </c>
      <c r="H647" s="88">
        <f t="shared" si="63"/>
        <v>0</v>
      </c>
      <c r="I647" s="88">
        <f t="shared" si="63"/>
        <v>0</v>
      </c>
      <c r="J647" s="42"/>
      <c r="K647" s="52"/>
      <c r="L647" s="35"/>
      <c r="M647" s="36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</row>
    <row r="648" spans="1:29" ht="36.75" customHeight="1" hidden="1">
      <c r="A648" s="125" t="s">
        <v>570</v>
      </c>
      <c r="B648" s="103">
        <v>809</v>
      </c>
      <c r="C648" s="87" t="s">
        <v>793</v>
      </c>
      <c r="D648" s="87" t="s">
        <v>790</v>
      </c>
      <c r="E648" s="87" t="s">
        <v>572</v>
      </c>
      <c r="F648" s="87"/>
      <c r="G648" s="88">
        <f t="shared" si="63"/>
        <v>0</v>
      </c>
      <c r="H648" s="88">
        <f t="shared" si="63"/>
        <v>0</v>
      </c>
      <c r="I648" s="88">
        <f t="shared" si="63"/>
        <v>0</v>
      </c>
      <c r="J648" s="42"/>
      <c r="K648" s="52"/>
      <c r="L648" s="35"/>
      <c r="M648" s="36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</row>
    <row r="649" spans="1:29" ht="20.25" customHeight="1" hidden="1">
      <c r="A649" s="125" t="s">
        <v>836</v>
      </c>
      <c r="B649" s="103">
        <v>809</v>
      </c>
      <c r="C649" s="87" t="s">
        <v>793</v>
      </c>
      <c r="D649" s="87" t="s">
        <v>790</v>
      </c>
      <c r="E649" s="87" t="s">
        <v>572</v>
      </c>
      <c r="F649" s="87" t="s">
        <v>545</v>
      </c>
      <c r="G649" s="88"/>
      <c r="H649" s="88"/>
      <c r="I649" s="88"/>
      <c r="J649" s="42"/>
      <c r="K649" s="52"/>
      <c r="L649" s="35"/>
      <c r="M649" s="36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</row>
    <row r="650" spans="1:29" ht="18" customHeight="1">
      <c r="A650" s="131" t="s">
        <v>412</v>
      </c>
      <c r="B650" s="103">
        <v>809</v>
      </c>
      <c r="C650" s="87" t="s">
        <v>508</v>
      </c>
      <c r="D650" s="87"/>
      <c r="E650" s="87"/>
      <c r="F650" s="87"/>
      <c r="G650" s="88">
        <f>SUM(G651,G667,G659)</f>
        <v>103715.90000000001</v>
      </c>
      <c r="H650" s="88">
        <f>SUM(H651,H667,H659)</f>
        <v>97341.6</v>
      </c>
      <c r="I650" s="88">
        <f>SUM(I651,I667,I659)</f>
        <v>98928.70000000001</v>
      </c>
      <c r="J650" s="42"/>
      <c r="K650" s="52"/>
      <c r="L650" s="35"/>
      <c r="M650" s="36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</row>
    <row r="651" spans="1:29" ht="16.5" customHeight="1">
      <c r="A651" s="131" t="s">
        <v>103</v>
      </c>
      <c r="B651" s="103">
        <v>809</v>
      </c>
      <c r="C651" s="87" t="s">
        <v>508</v>
      </c>
      <c r="D651" s="87" t="s">
        <v>791</v>
      </c>
      <c r="E651" s="87"/>
      <c r="F651" s="87"/>
      <c r="G651" s="88">
        <f>SUM(G652,)</f>
        <v>99370.70000000001</v>
      </c>
      <c r="H651" s="88">
        <f>SUM(H652,)</f>
        <v>97341.6</v>
      </c>
      <c r="I651" s="88">
        <f>SUM(I652,)</f>
        <v>98928.70000000001</v>
      </c>
      <c r="J651" s="42"/>
      <c r="K651" s="52"/>
      <c r="L651" s="35"/>
      <c r="M651" s="36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</row>
    <row r="652" spans="1:36" s="48" customFormat="1" ht="21.75" customHeight="1">
      <c r="A652" s="131" t="s">
        <v>465</v>
      </c>
      <c r="B652" s="103">
        <v>809</v>
      </c>
      <c r="C652" s="87" t="s">
        <v>508</v>
      </c>
      <c r="D652" s="87" t="s">
        <v>791</v>
      </c>
      <c r="E652" s="87" t="s">
        <v>442</v>
      </c>
      <c r="F652" s="87"/>
      <c r="G652" s="88">
        <f>SUM(G653,G655)</f>
        <v>99370.70000000001</v>
      </c>
      <c r="H652" s="88">
        <f>SUM(H653,H655)</f>
        <v>97341.6</v>
      </c>
      <c r="I652" s="88">
        <f>SUM(I653,I655)</f>
        <v>98928.70000000001</v>
      </c>
      <c r="J652" s="42"/>
      <c r="K652" s="52"/>
      <c r="L652" s="35"/>
      <c r="M652" s="36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F652" s="35"/>
      <c r="AG652" s="35"/>
      <c r="AH652" s="35"/>
      <c r="AI652" s="35"/>
      <c r="AJ652" s="35"/>
    </row>
    <row r="653" spans="1:36" s="49" customFormat="1" ht="20.25" customHeight="1">
      <c r="A653" s="131" t="s">
        <v>475</v>
      </c>
      <c r="B653" s="103">
        <v>809</v>
      </c>
      <c r="C653" s="87" t="s">
        <v>508</v>
      </c>
      <c r="D653" s="87" t="s">
        <v>791</v>
      </c>
      <c r="E653" s="87" t="s">
        <v>478</v>
      </c>
      <c r="F653" s="87"/>
      <c r="G653" s="88">
        <f>SUM(G654)</f>
        <v>768.6</v>
      </c>
      <c r="H653" s="88">
        <f>SUM(H654)</f>
        <v>768.6</v>
      </c>
      <c r="I653" s="88">
        <f>SUM(I654)</f>
        <v>768.6</v>
      </c>
      <c r="J653" s="42"/>
      <c r="K653" s="52"/>
      <c r="L653" s="35"/>
      <c r="M653" s="36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F653" s="35"/>
      <c r="AG653" s="35"/>
      <c r="AH653" s="35"/>
      <c r="AI653" s="35"/>
      <c r="AJ653" s="35"/>
    </row>
    <row r="654" spans="1:29" ht="18.75" customHeight="1">
      <c r="A654" s="125" t="s">
        <v>836</v>
      </c>
      <c r="B654" s="103">
        <v>809</v>
      </c>
      <c r="C654" s="87" t="s">
        <v>508</v>
      </c>
      <c r="D654" s="87" t="s">
        <v>791</v>
      </c>
      <c r="E654" s="87" t="s">
        <v>478</v>
      </c>
      <c r="F654" s="87" t="s">
        <v>545</v>
      </c>
      <c r="G654" s="88">
        <v>768.6</v>
      </c>
      <c r="H654" s="88">
        <v>768.6</v>
      </c>
      <c r="I654" s="88">
        <v>768.6</v>
      </c>
      <c r="J654" s="42"/>
      <c r="K654" s="52"/>
      <c r="L654" s="35"/>
      <c r="M654" s="36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5"/>
    </row>
    <row r="655" spans="1:29" ht="18" customHeight="1">
      <c r="A655" s="131" t="s">
        <v>389</v>
      </c>
      <c r="B655" s="103">
        <v>809</v>
      </c>
      <c r="C655" s="87" t="s">
        <v>508</v>
      </c>
      <c r="D655" s="87" t="s">
        <v>791</v>
      </c>
      <c r="E655" s="87" t="s">
        <v>443</v>
      </c>
      <c r="F655" s="87"/>
      <c r="G655" s="88">
        <f>G656+G657+G658</f>
        <v>98602.1</v>
      </c>
      <c r="H655" s="88">
        <f>H656+H657+H658</f>
        <v>96573</v>
      </c>
      <c r="I655" s="88">
        <f>I656+I657+I658</f>
        <v>98160.1</v>
      </c>
      <c r="J655" s="42"/>
      <c r="K655" s="52"/>
      <c r="L655" s="35"/>
      <c r="M655" s="36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5"/>
    </row>
    <row r="656" spans="1:29" ht="20.25" customHeight="1">
      <c r="A656" s="125" t="s">
        <v>140</v>
      </c>
      <c r="B656" s="103">
        <v>809</v>
      </c>
      <c r="C656" s="87" t="s">
        <v>508</v>
      </c>
      <c r="D656" s="87" t="s">
        <v>791</v>
      </c>
      <c r="E656" s="87" t="s">
        <v>443</v>
      </c>
      <c r="F656" s="87" t="s">
        <v>545</v>
      </c>
      <c r="G656" s="88">
        <v>98602.1</v>
      </c>
      <c r="H656" s="88">
        <v>96573</v>
      </c>
      <c r="I656" s="88">
        <v>98160.1</v>
      </c>
      <c r="J656" s="42"/>
      <c r="K656" s="35"/>
      <c r="L656" s="35"/>
      <c r="M656" s="36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</row>
    <row r="657" spans="1:29" ht="33.75" customHeight="1" hidden="1">
      <c r="A657" s="145" t="s">
        <v>552</v>
      </c>
      <c r="B657" s="103">
        <v>809</v>
      </c>
      <c r="C657" s="87" t="s">
        <v>508</v>
      </c>
      <c r="D657" s="87" t="s">
        <v>791</v>
      </c>
      <c r="E657" s="87" t="s">
        <v>443</v>
      </c>
      <c r="F657" s="87" t="s">
        <v>551</v>
      </c>
      <c r="G657" s="88"/>
      <c r="H657" s="88"/>
      <c r="I657" s="88"/>
      <c r="J657" s="58" t="s">
        <v>553</v>
      </c>
      <c r="K657" s="35"/>
      <c r="L657" s="35"/>
      <c r="M657" s="36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</row>
    <row r="658" spans="1:29" ht="20.25" customHeight="1" hidden="1">
      <c r="A658" s="146" t="s">
        <v>558</v>
      </c>
      <c r="B658" s="103">
        <v>809</v>
      </c>
      <c r="C658" s="87" t="s">
        <v>508</v>
      </c>
      <c r="D658" s="87" t="s">
        <v>791</v>
      </c>
      <c r="E658" s="87" t="s">
        <v>443</v>
      </c>
      <c r="F658" s="87" t="s">
        <v>559</v>
      </c>
      <c r="G658" s="88"/>
      <c r="H658" s="88"/>
      <c r="I658" s="88"/>
      <c r="J658" s="42"/>
      <c r="K658" s="35"/>
      <c r="L658" s="35"/>
      <c r="M658" s="36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5"/>
    </row>
    <row r="659" spans="1:29" ht="19.5" customHeight="1" hidden="1">
      <c r="A659" s="131" t="s">
        <v>231</v>
      </c>
      <c r="B659" s="103">
        <v>809</v>
      </c>
      <c r="C659" s="87" t="s">
        <v>508</v>
      </c>
      <c r="D659" s="87" t="s">
        <v>508</v>
      </c>
      <c r="E659" s="87"/>
      <c r="F659" s="87"/>
      <c r="G659" s="88">
        <f>G660+G663</f>
        <v>0</v>
      </c>
      <c r="H659" s="88">
        <f>H660+H663</f>
        <v>0</v>
      </c>
      <c r="I659" s="88">
        <f>I660+I663</f>
        <v>0</v>
      </c>
      <c r="J659" s="42"/>
      <c r="K659" s="35"/>
      <c r="L659" s="35"/>
      <c r="M659" s="36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5"/>
    </row>
    <row r="660" spans="1:29" ht="19.5" customHeight="1" hidden="1">
      <c r="A660" s="125" t="s">
        <v>209</v>
      </c>
      <c r="B660" s="103">
        <v>809</v>
      </c>
      <c r="C660" s="87" t="s">
        <v>508</v>
      </c>
      <c r="D660" s="87" t="s">
        <v>508</v>
      </c>
      <c r="E660" s="87" t="s">
        <v>473</v>
      </c>
      <c r="F660" s="87"/>
      <c r="G660" s="88">
        <f aca="true" t="shared" si="64" ref="G660:I661">G661</f>
        <v>0</v>
      </c>
      <c r="H660" s="88">
        <f t="shared" si="64"/>
        <v>0</v>
      </c>
      <c r="I660" s="88">
        <f t="shared" si="64"/>
        <v>0</v>
      </c>
      <c r="J660" s="42"/>
      <c r="K660" s="35"/>
      <c r="L660" s="35"/>
      <c r="M660" s="36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5"/>
    </row>
    <row r="661" spans="1:29" ht="19.5" customHeight="1" hidden="1">
      <c r="A661" s="140" t="s">
        <v>301</v>
      </c>
      <c r="B661" s="103">
        <v>809</v>
      </c>
      <c r="C661" s="87" t="s">
        <v>508</v>
      </c>
      <c r="D661" s="87" t="s">
        <v>508</v>
      </c>
      <c r="E661" s="87" t="s">
        <v>516</v>
      </c>
      <c r="F661" s="87"/>
      <c r="G661" s="88">
        <f t="shared" si="64"/>
        <v>0</v>
      </c>
      <c r="H661" s="88">
        <f t="shared" si="64"/>
        <v>0</v>
      </c>
      <c r="I661" s="88">
        <f t="shared" si="64"/>
        <v>0</v>
      </c>
      <c r="J661" s="42"/>
      <c r="K661" s="35"/>
      <c r="L661" s="35"/>
      <c r="M661" s="36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</row>
    <row r="662" spans="1:29" ht="19.5" customHeight="1" hidden="1">
      <c r="A662" s="131" t="s">
        <v>537</v>
      </c>
      <c r="B662" s="103">
        <v>809</v>
      </c>
      <c r="C662" s="87" t="s">
        <v>508</v>
      </c>
      <c r="D662" s="87" t="s">
        <v>508</v>
      </c>
      <c r="E662" s="87" t="s">
        <v>516</v>
      </c>
      <c r="F662" s="87" t="s">
        <v>536</v>
      </c>
      <c r="G662" s="88"/>
      <c r="H662" s="88"/>
      <c r="I662" s="88"/>
      <c r="J662" s="42"/>
      <c r="K662" s="35"/>
      <c r="L662" s="35"/>
      <c r="M662" s="36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</row>
    <row r="663" spans="1:29" ht="19.5" customHeight="1" hidden="1">
      <c r="A663" s="124" t="s">
        <v>52</v>
      </c>
      <c r="B663" s="103">
        <v>809</v>
      </c>
      <c r="C663" s="87" t="s">
        <v>508</v>
      </c>
      <c r="D663" s="87" t="s">
        <v>508</v>
      </c>
      <c r="E663" s="87" t="s">
        <v>32</v>
      </c>
      <c r="F663" s="87"/>
      <c r="G663" s="88">
        <f>SUM(G664)</f>
        <v>0</v>
      </c>
      <c r="H663" s="88">
        <f aca="true" t="shared" si="65" ref="H663:I665">SUM(H664)</f>
        <v>0</v>
      </c>
      <c r="I663" s="88">
        <f t="shared" si="65"/>
        <v>0</v>
      </c>
      <c r="J663" s="42"/>
      <c r="K663" s="35"/>
      <c r="L663" s="35"/>
      <c r="M663" s="36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C663" s="35"/>
    </row>
    <row r="664" spans="1:29" ht="53.25" customHeight="1" hidden="1">
      <c r="A664" s="125" t="s">
        <v>34</v>
      </c>
      <c r="B664" s="103">
        <v>809</v>
      </c>
      <c r="C664" s="87" t="s">
        <v>508</v>
      </c>
      <c r="D664" s="87" t="s">
        <v>508</v>
      </c>
      <c r="E664" s="87" t="s">
        <v>33</v>
      </c>
      <c r="F664" s="87"/>
      <c r="G664" s="88">
        <f>SUM(G665)</f>
        <v>0</v>
      </c>
      <c r="H664" s="88">
        <f t="shared" si="65"/>
        <v>0</v>
      </c>
      <c r="I664" s="88">
        <f t="shared" si="65"/>
        <v>0</v>
      </c>
      <c r="J664" s="42"/>
      <c r="K664" s="35"/>
      <c r="L664" s="35"/>
      <c r="M664" s="36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5"/>
    </row>
    <row r="665" spans="1:29" ht="84" customHeight="1" hidden="1">
      <c r="A665" s="132" t="s">
        <v>239</v>
      </c>
      <c r="B665" s="103">
        <v>809</v>
      </c>
      <c r="C665" s="87" t="s">
        <v>508</v>
      </c>
      <c r="D665" s="87" t="s">
        <v>508</v>
      </c>
      <c r="E665" s="87" t="s">
        <v>78</v>
      </c>
      <c r="F665" s="87"/>
      <c r="G665" s="88">
        <f>SUM(G666)</f>
        <v>0</v>
      </c>
      <c r="H665" s="88">
        <f t="shared" si="65"/>
        <v>0</v>
      </c>
      <c r="I665" s="88">
        <f t="shared" si="65"/>
        <v>0</v>
      </c>
      <c r="J665" s="42"/>
      <c r="K665" s="35"/>
      <c r="L665" s="35"/>
      <c r="M665" s="36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5"/>
    </row>
    <row r="666" spans="1:29" ht="19.5" customHeight="1" hidden="1">
      <c r="A666" s="128" t="s">
        <v>134</v>
      </c>
      <c r="B666" s="103">
        <v>809</v>
      </c>
      <c r="C666" s="87" t="s">
        <v>508</v>
      </c>
      <c r="D666" s="87" t="s">
        <v>508</v>
      </c>
      <c r="E666" s="87" t="s">
        <v>78</v>
      </c>
      <c r="F666" s="87" t="s">
        <v>195</v>
      </c>
      <c r="G666" s="88"/>
      <c r="H666" s="88"/>
      <c r="I666" s="88"/>
      <c r="J666" s="42"/>
      <c r="K666" s="35"/>
      <c r="L666" s="35"/>
      <c r="M666" s="36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5"/>
    </row>
    <row r="667" spans="1:29" ht="19.5" customHeight="1" hidden="1">
      <c r="A667" s="131" t="s">
        <v>104</v>
      </c>
      <c r="B667" s="26">
        <v>809</v>
      </c>
      <c r="C667" s="104" t="s">
        <v>508</v>
      </c>
      <c r="D667" s="104" t="s">
        <v>40</v>
      </c>
      <c r="E667" s="104"/>
      <c r="F667" s="104"/>
      <c r="G667" s="88">
        <f aca="true" t="shared" si="66" ref="G667:I668">SUM(G668)</f>
        <v>4345.2</v>
      </c>
      <c r="H667" s="88">
        <f t="shared" si="66"/>
        <v>0</v>
      </c>
      <c r="I667" s="88">
        <f t="shared" si="66"/>
        <v>0</v>
      </c>
      <c r="J667" s="42"/>
      <c r="K667" s="35"/>
      <c r="L667" s="35"/>
      <c r="M667" s="36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5"/>
    </row>
    <row r="668" spans="1:29" ht="18.75" customHeight="1" hidden="1">
      <c r="A668" s="140" t="s">
        <v>349</v>
      </c>
      <c r="B668" s="26">
        <v>809</v>
      </c>
      <c r="C668" s="104" t="s">
        <v>508</v>
      </c>
      <c r="D668" s="104" t="s">
        <v>40</v>
      </c>
      <c r="E668" s="87" t="s">
        <v>343</v>
      </c>
      <c r="F668" s="87"/>
      <c r="G668" s="88">
        <f t="shared" si="66"/>
        <v>4345.2</v>
      </c>
      <c r="H668" s="88">
        <f t="shared" si="66"/>
        <v>0</v>
      </c>
      <c r="I668" s="88">
        <f t="shared" si="66"/>
        <v>0</v>
      </c>
      <c r="J668" s="42"/>
      <c r="K668" s="35"/>
      <c r="L668" s="35"/>
      <c r="M668" s="36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5"/>
    </row>
    <row r="669" spans="1:29" ht="21.75" customHeight="1" hidden="1">
      <c r="A669" s="140" t="s">
        <v>380</v>
      </c>
      <c r="B669" s="26">
        <v>809</v>
      </c>
      <c r="C669" s="104" t="s">
        <v>508</v>
      </c>
      <c r="D669" s="104" t="s">
        <v>40</v>
      </c>
      <c r="E669" s="87" t="s">
        <v>344</v>
      </c>
      <c r="F669" s="87"/>
      <c r="G669" s="88">
        <f aca="true" t="shared" si="67" ref="G669:I670">G670</f>
        <v>4345.2</v>
      </c>
      <c r="H669" s="88">
        <f t="shared" si="67"/>
        <v>0</v>
      </c>
      <c r="I669" s="88">
        <f t="shared" si="67"/>
        <v>0</v>
      </c>
      <c r="J669" s="42"/>
      <c r="K669" s="35"/>
      <c r="L669" s="35"/>
      <c r="M669" s="36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5"/>
    </row>
    <row r="670" spans="1:29" ht="21.75" customHeight="1" hidden="1">
      <c r="A670" s="131" t="s">
        <v>778</v>
      </c>
      <c r="B670" s="26">
        <v>809</v>
      </c>
      <c r="C670" s="104" t="s">
        <v>508</v>
      </c>
      <c r="D670" s="104" t="s">
        <v>40</v>
      </c>
      <c r="E670" s="87" t="s">
        <v>348</v>
      </c>
      <c r="F670" s="87"/>
      <c r="G670" s="88">
        <f t="shared" si="67"/>
        <v>4345.2</v>
      </c>
      <c r="H670" s="88">
        <f t="shared" si="67"/>
        <v>0</v>
      </c>
      <c r="I670" s="88">
        <f t="shared" si="67"/>
        <v>0</v>
      </c>
      <c r="J670" s="42"/>
      <c r="K670" s="35"/>
      <c r="L670" s="35"/>
      <c r="M670" s="36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5"/>
    </row>
    <row r="671" spans="1:29" ht="18.75" customHeight="1" hidden="1">
      <c r="A671" s="124" t="s">
        <v>501</v>
      </c>
      <c r="B671" s="26">
        <v>809</v>
      </c>
      <c r="C671" s="104" t="s">
        <v>508</v>
      </c>
      <c r="D671" s="104" t="s">
        <v>40</v>
      </c>
      <c r="E671" s="87" t="s">
        <v>348</v>
      </c>
      <c r="F671" s="87" t="s">
        <v>102</v>
      </c>
      <c r="G671" s="88">
        <v>4345.2</v>
      </c>
      <c r="H671" s="88"/>
      <c r="I671" s="88"/>
      <c r="J671" s="42"/>
      <c r="K671" s="35"/>
      <c r="L671" s="35"/>
      <c r="M671" s="36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5"/>
    </row>
    <row r="672" spans="1:29" ht="19.5" customHeight="1">
      <c r="A672" s="140" t="s">
        <v>413</v>
      </c>
      <c r="B672" s="103">
        <v>809</v>
      </c>
      <c r="C672" s="87" t="s">
        <v>471</v>
      </c>
      <c r="D672" s="87"/>
      <c r="E672" s="87"/>
      <c r="F672" s="87"/>
      <c r="G672" s="88">
        <f aca="true" t="shared" si="68" ref="G672:I676">G673</f>
        <v>992</v>
      </c>
      <c r="H672" s="88">
        <f t="shared" si="68"/>
        <v>980</v>
      </c>
      <c r="I672" s="88">
        <f t="shared" si="68"/>
        <v>1000</v>
      </c>
      <c r="J672" s="42"/>
      <c r="K672" s="36"/>
      <c r="L672" s="35"/>
      <c r="M672" s="36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5"/>
    </row>
    <row r="673" spans="1:29" ht="19.5" customHeight="1">
      <c r="A673" s="131" t="s">
        <v>472</v>
      </c>
      <c r="B673" s="103">
        <v>809</v>
      </c>
      <c r="C673" s="87" t="s">
        <v>471</v>
      </c>
      <c r="D673" s="87" t="s">
        <v>794</v>
      </c>
      <c r="E673" s="87"/>
      <c r="F673" s="87"/>
      <c r="G673" s="88">
        <f t="shared" si="68"/>
        <v>992</v>
      </c>
      <c r="H673" s="88">
        <f t="shared" si="68"/>
        <v>980</v>
      </c>
      <c r="I673" s="88">
        <f t="shared" si="68"/>
        <v>1000</v>
      </c>
      <c r="J673" s="42"/>
      <c r="K673" s="36"/>
      <c r="L673" s="35"/>
      <c r="M673" s="36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</row>
    <row r="674" spans="1:29" ht="19.5" customHeight="1">
      <c r="A674" s="140" t="s">
        <v>349</v>
      </c>
      <c r="B674" s="103">
        <v>809</v>
      </c>
      <c r="C674" s="87" t="s">
        <v>471</v>
      </c>
      <c r="D674" s="87" t="s">
        <v>794</v>
      </c>
      <c r="E674" s="87" t="s">
        <v>343</v>
      </c>
      <c r="F674" s="87"/>
      <c r="G674" s="88">
        <f t="shared" si="68"/>
        <v>992</v>
      </c>
      <c r="H674" s="88">
        <f t="shared" si="68"/>
        <v>980</v>
      </c>
      <c r="I674" s="88">
        <f t="shared" si="68"/>
        <v>1000</v>
      </c>
      <c r="J674" s="42"/>
      <c r="K674" s="36"/>
      <c r="L674" s="35"/>
      <c r="M674" s="36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</row>
    <row r="675" spans="1:29" ht="19.5" customHeight="1">
      <c r="A675" s="140" t="s">
        <v>380</v>
      </c>
      <c r="B675" s="103">
        <v>809</v>
      </c>
      <c r="C675" s="87" t="s">
        <v>471</v>
      </c>
      <c r="D675" s="87" t="s">
        <v>794</v>
      </c>
      <c r="E675" s="87" t="s">
        <v>344</v>
      </c>
      <c r="F675" s="87"/>
      <c r="G675" s="88">
        <f t="shared" si="68"/>
        <v>992</v>
      </c>
      <c r="H675" s="88">
        <f t="shared" si="68"/>
        <v>980</v>
      </c>
      <c r="I675" s="88">
        <f t="shared" si="68"/>
        <v>1000</v>
      </c>
      <c r="J675" s="42"/>
      <c r="K675" s="36"/>
      <c r="L675" s="35"/>
      <c r="M675" s="36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</row>
    <row r="676" spans="1:29" ht="19.5" customHeight="1">
      <c r="A676" s="124" t="s">
        <v>725</v>
      </c>
      <c r="B676" s="103">
        <v>809</v>
      </c>
      <c r="C676" s="87" t="s">
        <v>471</v>
      </c>
      <c r="D676" s="87" t="s">
        <v>794</v>
      </c>
      <c r="E676" s="87" t="s">
        <v>353</v>
      </c>
      <c r="F676" s="87"/>
      <c r="G676" s="88">
        <f t="shared" si="68"/>
        <v>992</v>
      </c>
      <c r="H676" s="88">
        <f t="shared" si="68"/>
        <v>980</v>
      </c>
      <c r="I676" s="88">
        <f t="shared" si="68"/>
        <v>1000</v>
      </c>
      <c r="J676" s="42"/>
      <c r="K676" s="36"/>
      <c r="L676" s="35"/>
      <c r="M676" s="36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</row>
    <row r="677" spans="1:29" ht="19.5" customHeight="1">
      <c r="A677" s="132" t="s">
        <v>693</v>
      </c>
      <c r="B677" s="103">
        <v>809</v>
      </c>
      <c r="C677" s="87" t="s">
        <v>471</v>
      </c>
      <c r="D677" s="87" t="s">
        <v>794</v>
      </c>
      <c r="E677" s="87" t="s">
        <v>353</v>
      </c>
      <c r="F677" s="87" t="s">
        <v>238</v>
      </c>
      <c r="G677" s="88">
        <v>992</v>
      </c>
      <c r="H677" s="88">
        <v>980</v>
      </c>
      <c r="I677" s="88">
        <v>1000</v>
      </c>
      <c r="J677" s="42"/>
      <c r="K677" s="36"/>
      <c r="L677" s="35"/>
      <c r="M677" s="36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5"/>
    </row>
    <row r="678" spans="1:29" ht="18" customHeight="1">
      <c r="A678" s="131" t="s">
        <v>256</v>
      </c>
      <c r="B678" s="26">
        <v>809</v>
      </c>
      <c r="C678" s="104" t="s">
        <v>45</v>
      </c>
      <c r="D678" s="104"/>
      <c r="E678" s="104"/>
      <c r="F678" s="104"/>
      <c r="G678" s="88">
        <f>SUM(G679,G702,G694,G697)</f>
        <v>286181.5</v>
      </c>
      <c r="H678" s="88">
        <f>SUM(H679,H702,H694,H697)</f>
        <v>277429.80000000005</v>
      </c>
      <c r="I678" s="88">
        <f>SUM(I679,I702,I694,I697)</f>
        <v>283773</v>
      </c>
      <c r="J678" s="42"/>
      <c r="K678" s="35"/>
      <c r="L678" s="35"/>
      <c r="M678" s="36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</row>
    <row r="679" spans="1:29" ht="18" customHeight="1">
      <c r="A679" s="132" t="s">
        <v>217</v>
      </c>
      <c r="B679" s="26">
        <v>809</v>
      </c>
      <c r="C679" s="104" t="s">
        <v>45</v>
      </c>
      <c r="D679" s="104" t="s">
        <v>790</v>
      </c>
      <c r="E679" s="104"/>
      <c r="F679" s="104"/>
      <c r="G679" s="88">
        <f>SUM(G680,G687)</f>
        <v>178616.2</v>
      </c>
      <c r="H679" s="88">
        <f>SUM(H680,H687)</f>
        <v>171434.1</v>
      </c>
      <c r="I679" s="88">
        <f>SUM(I680,I687)</f>
        <v>177769.5</v>
      </c>
      <c r="J679" s="42"/>
      <c r="K679" s="35"/>
      <c r="L679" s="35"/>
      <c r="M679" s="36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5"/>
    </row>
    <row r="680" spans="1:29" ht="18" customHeight="1">
      <c r="A680" s="131" t="s">
        <v>731</v>
      </c>
      <c r="B680" s="26">
        <v>809</v>
      </c>
      <c r="C680" s="104" t="s">
        <v>45</v>
      </c>
      <c r="D680" s="104" t="s">
        <v>790</v>
      </c>
      <c r="E680" s="104" t="s">
        <v>166</v>
      </c>
      <c r="F680" s="104"/>
      <c r="G680" s="88">
        <f>SUM(G681)</f>
        <v>164698</v>
      </c>
      <c r="H680" s="88">
        <f>SUM(H681)</f>
        <v>169868.2</v>
      </c>
      <c r="I680" s="88">
        <f>SUM(I681)</f>
        <v>175589.9</v>
      </c>
      <c r="J680" s="42"/>
      <c r="K680" s="35"/>
      <c r="L680" s="35"/>
      <c r="M680" s="36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5"/>
    </row>
    <row r="681" spans="1:29" ht="35.25" customHeight="1">
      <c r="A681" s="125" t="s">
        <v>582</v>
      </c>
      <c r="B681" s="26">
        <v>809</v>
      </c>
      <c r="C681" s="104" t="s">
        <v>45</v>
      </c>
      <c r="D681" s="104" t="s">
        <v>790</v>
      </c>
      <c r="E681" s="104" t="s">
        <v>167</v>
      </c>
      <c r="F681" s="104"/>
      <c r="G681" s="88">
        <f>G682</f>
        <v>164698</v>
      </c>
      <c r="H681" s="88">
        <f>H682</f>
        <v>169868.2</v>
      </c>
      <c r="I681" s="88">
        <f>I682</f>
        <v>175589.9</v>
      </c>
      <c r="J681" s="42"/>
      <c r="K681" s="35"/>
      <c r="L681" s="35"/>
      <c r="M681" s="36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5"/>
    </row>
    <row r="682" spans="1:29" ht="18" customHeight="1">
      <c r="A682" s="125" t="s">
        <v>140</v>
      </c>
      <c r="B682" s="26">
        <v>809</v>
      </c>
      <c r="C682" s="104" t="s">
        <v>45</v>
      </c>
      <c r="D682" s="104" t="s">
        <v>790</v>
      </c>
      <c r="E682" s="104" t="s">
        <v>167</v>
      </c>
      <c r="F682" s="104" t="s">
        <v>545</v>
      </c>
      <c r="G682" s="88">
        <v>164698</v>
      </c>
      <c r="H682" s="88">
        <v>169868.2</v>
      </c>
      <c r="I682" s="88">
        <v>175589.9</v>
      </c>
      <c r="J682" s="42"/>
      <c r="K682" s="35"/>
      <c r="L682" s="35"/>
      <c r="M682" s="36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</row>
    <row r="683" spans="1:29" ht="18" customHeight="1" hidden="1">
      <c r="A683" s="124" t="s">
        <v>52</v>
      </c>
      <c r="B683" s="26">
        <v>809</v>
      </c>
      <c r="C683" s="104" t="s">
        <v>45</v>
      </c>
      <c r="D683" s="104" t="s">
        <v>790</v>
      </c>
      <c r="E683" s="104" t="s">
        <v>32</v>
      </c>
      <c r="F683" s="104"/>
      <c r="G683" s="88">
        <f>SUM(G684)</f>
        <v>0</v>
      </c>
      <c r="H683" s="88">
        <f aca="true" t="shared" si="69" ref="H683:I685">SUM(H684)</f>
        <v>0</v>
      </c>
      <c r="I683" s="88">
        <f t="shared" si="69"/>
        <v>0</v>
      </c>
      <c r="J683" s="42"/>
      <c r="K683" s="35"/>
      <c r="L683" s="35"/>
      <c r="M683" s="36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</row>
    <row r="684" spans="1:29" ht="18" customHeight="1" hidden="1">
      <c r="A684" s="147" t="s">
        <v>321</v>
      </c>
      <c r="B684" s="26">
        <v>809</v>
      </c>
      <c r="C684" s="104" t="s">
        <v>45</v>
      </c>
      <c r="D684" s="104" t="s">
        <v>790</v>
      </c>
      <c r="E684" s="104" t="s">
        <v>276</v>
      </c>
      <c r="F684" s="104"/>
      <c r="G684" s="88">
        <f>SUM(G685)</f>
        <v>0</v>
      </c>
      <c r="H684" s="88">
        <f t="shared" si="69"/>
        <v>0</v>
      </c>
      <c r="I684" s="88">
        <f t="shared" si="69"/>
        <v>0</v>
      </c>
      <c r="J684" s="42"/>
      <c r="K684" s="35"/>
      <c r="L684" s="35"/>
      <c r="M684" s="36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</row>
    <row r="685" spans="1:29" ht="18" customHeight="1" hidden="1">
      <c r="A685" s="124" t="s">
        <v>74</v>
      </c>
      <c r="B685" s="26">
        <v>809</v>
      </c>
      <c r="C685" s="104" t="s">
        <v>45</v>
      </c>
      <c r="D685" s="104" t="s">
        <v>790</v>
      </c>
      <c r="E685" s="104" t="s">
        <v>208</v>
      </c>
      <c r="F685" s="104"/>
      <c r="G685" s="88">
        <f>SUM(G686)</f>
        <v>0</v>
      </c>
      <c r="H685" s="88">
        <f t="shared" si="69"/>
        <v>0</v>
      </c>
      <c r="I685" s="88">
        <f t="shared" si="69"/>
        <v>0</v>
      </c>
      <c r="J685" s="42"/>
      <c r="K685" s="35"/>
      <c r="L685" s="35"/>
      <c r="M685" s="36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</row>
    <row r="686" spans="1:29" ht="18" customHeight="1" hidden="1">
      <c r="A686" s="132" t="s">
        <v>221</v>
      </c>
      <c r="B686" s="26">
        <v>809</v>
      </c>
      <c r="C686" s="104" t="s">
        <v>45</v>
      </c>
      <c r="D686" s="104" t="s">
        <v>790</v>
      </c>
      <c r="E686" s="104" t="s">
        <v>208</v>
      </c>
      <c r="F686" s="104" t="s">
        <v>257</v>
      </c>
      <c r="G686" s="88"/>
      <c r="H686" s="88"/>
      <c r="I686" s="88"/>
      <c r="J686" s="42"/>
      <c r="K686" s="35"/>
      <c r="L686" s="35"/>
      <c r="M686" s="36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</row>
    <row r="687" spans="1:29" ht="18" customHeight="1">
      <c r="A687" s="140" t="s">
        <v>349</v>
      </c>
      <c r="B687" s="26">
        <v>809</v>
      </c>
      <c r="C687" s="104" t="s">
        <v>45</v>
      </c>
      <c r="D687" s="104" t="s">
        <v>790</v>
      </c>
      <c r="E687" s="104" t="s">
        <v>343</v>
      </c>
      <c r="F687" s="104"/>
      <c r="G687" s="88">
        <f>G688</f>
        <v>13918.199999999999</v>
      </c>
      <c r="H687" s="88">
        <f>H688</f>
        <v>1565.9</v>
      </c>
      <c r="I687" s="88">
        <f>I688</f>
        <v>2179.6</v>
      </c>
      <c r="J687" s="42"/>
      <c r="K687" s="35"/>
      <c r="L687" s="35"/>
      <c r="M687" s="36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</row>
    <row r="688" spans="1:29" ht="18" customHeight="1">
      <c r="A688" s="140" t="s">
        <v>380</v>
      </c>
      <c r="B688" s="103">
        <v>809</v>
      </c>
      <c r="C688" s="87" t="s">
        <v>45</v>
      </c>
      <c r="D688" s="87" t="s">
        <v>790</v>
      </c>
      <c r="E688" s="87" t="s">
        <v>344</v>
      </c>
      <c r="F688" s="87"/>
      <c r="G688" s="88">
        <f>G689+G691</f>
        <v>13918.199999999999</v>
      </c>
      <c r="H688" s="88">
        <f>H689+H691</f>
        <v>1565.9</v>
      </c>
      <c r="I688" s="88">
        <f>I689+I691</f>
        <v>2179.6</v>
      </c>
      <c r="J688" s="42"/>
      <c r="K688" s="35"/>
      <c r="L688" s="35"/>
      <c r="M688" s="36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</row>
    <row r="689" spans="1:29" ht="18" customHeight="1">
      <c r="A689" s="131" t="s">
        <v>199</v>
      </c>
      <c r="B689" s="103">
        <v>809</v>
      </c>
      <c r="C689" s="87" t="s">
        <v>45</v>
      </c>
      <c r="D689" s="87" t="s">
        <v>790</v>
      </c>
      <c r="E689" s="87" t="s">
        <v>354</v>
      </c>
      <c r="F689" s="87"/>
      <c r="G689" s="88">
        <f>G690</f>
        <v>1045.3</v>
      </c>
      <c r="H689" s="88">
        <f>H690</f>
        <v>1565.9</v>
      </c>
      <c r="I689" s="88">
        <f>I690</f>
        <v>2179.6</v>
      </c>
      <c r="J689" s="42"/>
      <c r="K689" s="35"/>
      <c r="L689" s="35"/>
      <c r="M689" s="36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</row>
    <row r="690" spans="1:29" ht="35.25" customHeight="1">
      <c r="A690" s="125" t="s">
        <v>581</v>
      </c>
      <c r="B690" s="103">
        <v>809</v>
      </c>
      <c r="C690" s="87" t="s">
        <v>45</v>
      </c>
      <c r="D690" s="87" t="s">
        <v>790</v>
      </c>
      <c r="E690" s="87" t="s">
        <v>354</v>
      </c>
      <c r="F690" s="87" t="s">
        <v>257</v>
      </c>
      <c r="G690" s="88">
        <v>1045.3</v>
      </c>
      <c r="H690" s="88">
        <v>1565.9</v>
      </c>
      <c r="I690" s="88">
        <v>2179.6</v>
      </c>
      <c r="J690" s="42"/>
      <c r="K690" s="35"/>
      <c r="L690" s="35"/>
      <c r="M690" s="36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</row>
    <row r="691" spans="1:29" ht="18" customHeight="1" hidden="1">
      <c r="A691" s="131" t="s">
        <v>778</v>
      </c>
      <c r="B691" s="103">
        <v>809</v>
      </c>
      <c r="C691" s="87" t="s">
        <v>45</v>
      </c>
      <c r="D691" s="87" t="s">
        <v>790</v>
      </c>
      <c r="E691" s="87" t="s">
        <v>348</v>
      </c>
      <c r="F691" s="87"/>
      <c r="G691" s="88">
        <f>SUM(G692:G693)</f>
        <v>12872.9</v>
      </c>
      <c r="H691" s="88">
        <f>SUM(H692:H693)</f>
        <v>0</v>
      </c>
      <c r="I691" s="88">
        <f>SUM(I692:I693)</f>
        <v>0</v>
      </c>
      <c r="J691" s="42"/>
      <c r="K691" s="35"/>
      <c r="L691" s="35"/>
      <c r="M691" s="36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</row>
    <row r="692" spans="1:29" ht="18" customHeight="1" hidden="1">
      <c r="A692" s="132" t="s">
        <v>237</v>
      </c>
      <c r="B692" s="103">
        <v>809</v>
      </c>
      <c r="C692" s="87" t="s">
        <v>45</v>
      </c>
      <c r="D692" s="87" t="s">
        <v>790</v>
      </c>
      <c r="E692" s="87" t="s">
        <v>348</v>
      </c>
      <c r="F692" s="87" t="s">
        <v>238</v>
      </c>
      <c r="G692" s="88">
        <v>5500</v>
      </c>
      <c r="H692" s="88"/>
      <c r="I692" s="88"/>
      <c r="J692" s="42"/>
      <c r="K692" s="35"/>
      <c r="L692" s="35"/>
      <c r="M692" s="36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</row>
    <row r="693" spans="1:29" ht="18" customHeight="1" hidden="1">
      <c r="A693" s="125" t="s">
        <v>581</v>
      </c>
      <c r="B693" s="103">
        <v>809</v>
      </c>
      <c r="C693" s="87" t="s">
        <v>45</v>
      </c>
      <c r="D693" s="87" t="s">
        <v>790</v>
      </c>
      <c r="E693" s="87" t="s">
        <v>348</v>
      </c>
      <c r="F693" s="87" t="s">
        <v>257</v>
      </c>
      <c r="G693" s="88">
        <v>7372.9</v>
      </c>
      <c r="H693" s="88"/>
      <c r="I693" s="88"/>
      <c r="J693" s="42"/>
      <c r="K693" s="35"/>
      <c r="L693" s="35"/>
      <c r="M693" s="36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5"/>
    </row>
    <row r="694" spans="1:29" ht="18" customHeight="1" hidden="1">
      <c r="A694" s="132" t="s">
        <v>491</v>
      </c>
      <c r="B694" s="103">
        <v>809</v>
      </c>
      <c r="C694" s="87" t="s">
        <v>45</v>
      </c>
      <c r="D694" s="87" t="s">
        <v>791</v>
      </c>
      <c r="E694" s="87"/>
      <c r="F694" s="87"/>
      <c r="G694" s="88">
        <f aca="true" t="shared" si="70" ref="G694:I695">G695</f>
        <v>820</v>
      </c>
      <c r="H694" s="88">
        <f t="shared" si="70"/>
        <v>0</v>
      </c>
      <c r="I694" s="88">
        <f t="shared" si="70"/>
        <v>0</v>
      </c>
      <c r="J694" s="42"/>
      <c r="K694" s="35"/>
      <c r="L694" s="35"/>
      <c r="M694" s="36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5"/>
    </row>
    <row r="695" spans="1:29" ht="18" customHeight="1" hidden="1">
      <c r="A695" s="125" t="s">
        <v>582</v>
      </c>
      <c r="B695" s="103">
        <v>809</v>
      </c>
      <c r="C695" s="87" t="s">
        <v>45</v>
      </c>
      <c r="D695" s="87" t="s">
        <v>791</v>
      </c>
      <c r="E695" s="104" t="s">
        <v>167</v>
      </c>
      <c r="F695" s="87"/>
      <c r="G695" s="88">
        <f t="shared" si="70"/>
        <v>820</v>
      </c>
      <c r="H695" s="88">
        <f t="shared" si="70"/>
        <v>0</v>
      </c>
      <c r="I695" s="88">
        <f t="shared" si="70"/>
        <v>0</v>
      </c>
      <c r="J695" s="42"/>
      <c r="K695" s="35"/>
      <c r="L695" s="35"/>
      <c r="M695" s="36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5"/>
    </row>
    <row r="696" spans="1:29" ht="18" customHeight="1" hidden="1">
      <c r="A696" s="125" t="s">
        <v>581</v>
      </c>
      <c r="B696" s="103">
        <v>809</v>
      </c>
      <c r="C696" s="87" t="s">
        <v>45</v>
      </c>
      <c r="D696" s="87" t="s">
        <v>791</v>
      </c>
      <c r="E696" s="104" t="s">
        <v>167</v>
      </c>
      <c r="F696" s="87" t="s">
        <v>257</v>
      </c>
      <c r="G696" s="88">
        <v>820</v>
      </c>
      <c r="H696" s="88"/>
      <c r="I696" s="88"/>
      <c r="J696" s="42"/>
      <c r="K696" s="35"/>
      <c r="L696" s="35"/>
      <c r="M696" s="36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5"/>
    </row>
    <row r="697" spans="1:29" ht="18" customHeight="1">
      <c r="A697" s="132" t="s">
        <v>430</v>
      </c>
      <c r="B697" s="103">
        <v>809</v>
      </c>
      <c r="C697" s="87" t="s">
        <v>45</v>
      </c>
      <c r="D697" s="87" t="s">
        <v>792</v>
      </c>
      <c r="E697" s="104"/>
      <c r="F697" s="87"/>
      <c r="G697" s="88">
        <f>G700</f>
        <v>100000</v>
      </c>
      <c r="H697" s="88">
        <f>H700</f>
        <v>100000</v>
      </c>
      <c r="I697" s="88">
        <f>I700</f>
        <v>100000</v>
      </c>
      <c r="J697" s="42"/>
      <c r="K697" s="35"/>
      <c r="L697" s="35"/>
      <c r="M697" s="36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</row>
    <row r="698" spans="1:29" ht="33.75" customHeight="1">
      <c r="A698" s="132" t="s">
        <v>738</v>
      </c>
      <c r="B698" s="103">
        <v>809</v>
      </c>
      <c r="C698" s="87" t="s">
        <v>45</v>
      </c>
      <c r="D698" s="87" t="s">
        <v>792</v>
      </c>
      <c r="E698" s="104" t="s">
        <v>331</v>
      </c>
      <c r="F698" s="87"/>
      <c r="G698" s="88">
        <f aca="true" t="shared" si="71" ref="G698:I700">G699</f>
        <v>100000</v>
      </c>
      <c r="H698" s="88">
        <f t="shared" si="71"/>
        <v>100000</v>
      </c>
      <c r="I698" s="88">
        <f t="shared" si="71"/>
        <v>100000</v>
      </c>
      <c r="J698" s="42"/>
      <c r="K698" s="35"/>
      <c r="L698" s="35"/>
      <c r="M698" s="36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</row>
    <row r="699" spans="1:29" ht="18" customHeight="1">
      <c r="A699" s="132" t="s">
        <v>739</v>
      </c>
      <c r="B699" s="103">
        <v>809</v>
      </c>
      <c r="C699" s="87" t="s">
        <v>45</v>
      </c>
      <c r="D699" s="87" t="s">
        <v>792</v>
      </c>
      <c r="E699" s="104" t="s">
        <v>428</v>
      </c>
      <c r="F699" s="87"/>
      <c r="G699" s="88">
        <f t="shared" si="71"/>
        <v>100000</v>
      </c>
      <c r="H699" s="88">
        <f t="shared" si="71"/>
        <v>100000</v>
      </c>
      <c r="I699" s="88">
        <f t="shared" si="71"/>
        <v>100000</v>
      </c>
      <c r="J699" s="42"/>
      <c r="K699" s="35"/>
      <c r="L699" s="35"/>
      <c r="M699" s="36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5"/>
    </row>
    <row r="700" spans="1:29" ht="23.25" customHeight="1">
      <c r="A700" s="124" t="s">
        <v>819</v>
      </c>
      <c r="B700" s="103">
        <v>809</v>
      </c>
      <c r="C700" s="87" t="s">
        <v>45</v>
      </c>
      <c r="D700" s="87" t="s">
        <v>792</v>
      </c>
      <c r="E700" s="104" t="s">
        <v>429</v>
      </c>
      <c r="F700" s="87"/>
      <c r="G700" s="88">
        <f t="shared" si="71"/>
        <v>100000</v>
      </c>
      <c r="H700" s="88">
        <f t="shared" si="71"/>
        <v>100000</v>
      </c>
      <c r="I700" s="88">
        <f t="shared" si="71"/>
        <v>100000</v>
      </c>
      <c r="J700" s="42"/>
      <c r="K700" s="35"/>
      <c r="L700" s="35"/>
      <c r="M700" s="36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5"/>
    </row>
    <row r="701" spans="1:29" ht="18" customHeight="1">
      <c r="A701" s="132" t="s">
        <v>625</v>
      </c>
      <c r="B701" s="103">
        <v>809</v>
      </c>
      <c r="C701" s="87" t="s">
        <v>45</v>
      </c>
      <c r="D701" s="87" t="s">
        <v>792</v>
      </c>
      <c r="E701" s="104" t="s">
        <v>429</v>
      </c>
      <c r="F701" s="87" t="s">
        <v>238</v>
      </c>
      <c r="G701" s="88">
        <v>100000</v>
      </c>
      <c r="H701" s="88">
        <v>100000</v>
      </c>
      <c r="I701" s="88">
        <v>100000</v>
      </c>
      <c r="J701" s="42"/>
      <c r="K701" s="35"/>
      <c r="L701" s="35"/>
      <c r="M701" s="36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5"/>
    </row>
    <row r="702" spans="1:29" ht="18" customHeight="1">
      <c r="A702" s="132" t="s">
        <v>492</v>
      </c>
      <c r="B702" s="103">
        <v>809</v>
      </c>
      <c r="C702" s="87" t="s">
        <v>45</v>
      </c>
      <c r="D702" s="87" t="s">
        <v>42</v>
      </c>
      <c r="E702" s="87"/>
      <c r="F702" s="87"/>
      <c r="G702" s="88">
        <f>SUM(G703,G706)</f>
        <v>6745.3</v>
      </c>
      <c r="H702" s="88">
        <f>SUM(H703,H706)</f>
        <v>5995.700000000001</v>
      </c>
      <c r="I702" s="88">
        <f>SUM(I703,I706)</f>
        <v>6003.5</v>
      </c>
      <c r="J702" s="42"/>
      <c r="K702" s="35"/>
      <c r="L702" s="35"/>
      <c r="M702" s="36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5"/>
    </row>
    <row r="703" spans="1:29" ht="53.25" customHeight="1">
      <c r="A703" s="125" t="s">
        <v>26</v>
      </c>
      <c r="B703" s="103">
        <v>809</v>
      </c>
      <c r="C703" s="87" t="s">
        <v>45</v>
      </c>
      <c r="D703" s="87" t="s">
        <v>42</v>
      </c>
      <c r="E703" s="87" t="s">
        <v>27</v>
      </c>
      <c r="F703" s="87"/>
      <c r="G703" s="88">
        <f aca="true" t="shared" si="72" ref="G703:I704">SUM(G704)</f>
        <v>2838.5</v>
      </c>
      <c r="H703" s="88">
        <f t="shared" si="72"/>
        <v>2833.9</v>
      </c>
      <c r="I703" s="88">
        <f t="shared" si="72"/>
        <v>2834.2</v>
      </c>
      <c r="J703" s="42"/>
      <c r="K703" s="35"/>
      <c r="L703" s="35"/>
      <c r="M703" s="36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5"/>
    </row>
    <row r="704" spans="1:29" ht="18" customHeight="1">
      <c r="A704" s="125" t="s">
        <v>31</v>
      </c>
      <c r="B704" s="103">
        <v>809</v>
      </c>
      <c r="C704" s="87" t="s">
        <v>45</v>
      </c>
      <c r="D704" s="87" t="s">
        <v>42</v>
      </c>
      <c r="E704" s="87" t="s">
        <v>29</v>
      </c>
      <c r="F704" s="87"/>
      <c r="G704" s="88">
        <f t="shared" si="72"/>
        <v>2838.5</v>
      </c>
      <c r="H704" s="88">
        <f t="shared" si="72"/>
        <v>2833.9</v>
      </c>
      <c r="I704" s="88">
        <f t="shared" si="72"/>
        <v>2834.2</v>
      </c>
      <c r="J704" s="42"/>
      <c r="K704" s="35"/>
      <c r="L704" s="35"/>
      <c r="M704" s="36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5"/>
    </row>
    <row r="705" spans="1:29" ht="18" customHeight="1">
      <c r="A705" s="124" t="s">
        <v>690</v>
      </c>
      <c r="B705" s="103">
        <v>809</v>
      </c>
      <c r="C705" s="87" t="s">
        <v>45</v>
      </c>
      <c r="D705" s="87" t="s">
        <v>42</v>
      </c>
      <c r="E705" s="87" t="s">
        <v>29</v>
      </c>
      <c r="F705" s="87" t="s">
        <v>197</v>
      </c>
      <c r="G705" s="88">
        <f>2703.5+135</f>
        <v>2838.5</v>
      </c>
      <c r="H705" s="88">
        <f>2698.9+135</f>
        <v>2833.9</v>
      </c>
      <c r="I705" s="88">
        <f>2699.2+135</f>
        <v>2834.2</v>
      </c>
      <c r="J705" s="42"/>
      <c r="K705" s="35"/>
      <c r="L705" s="35"/>
      <c r="M705" s="36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5"/>
    </row>
    <row r="706" spans="1:29" ht="56.25" customHeight="1">
      <c r="A706" s="125" t="s">
        <v>823</v>
      </c>
      <c r="B706" s="103">
        <v>809</v>
      </c>
      <c r="C706" s="87" t="s">
        <v>45</v>
      </c>
      <c r="D706" s="87" t="s">
        <v>42</v>
      </c>
      <c r="E706" s="87" t="s">
        <v>532</v>
      </c>
      <c r="F706" s="87"/>
      <c r="G706" s="88">
        <f>SUM(G707,G709)</f>
        <v>3906.8</v>
      </c>
      <c r="H706" s="88">
        <f>SUM(H707,H709)</f>
        <v>3161.8</v>
      </c>
      <c r="I706" s="88">
        <f>SUM(I707,I709)</f>
        <v>3169.3</v>
      </c>
      <c r="J706" s="42"/>
      <c r="K706" s="35"/>
      <c r="L706" s="35"/>
      <c r="M706" s="36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</row>
    <row r="707" spans="1:29" ht="18" customHeight="1" hidden="1">
      <c r="A707" s="131" t="s">
        <v>475</v>
      </c>
      <c r="B707" s="103">
        <v>809</v>
      </c>
      <c r="C707" s="87" t="s">
        <v>45</v>
      </c>
      <c r="D707" s="87" t="s">
        <v>42</v>
      </c>
      <c r="E707" s="87" t="s">
        <v>479</v>
      </c>
      <c r="F707" s="87"/>
      <c r="G707" s="88">
        <f>SUM(G708)</f>
        <v>0</v>
      </c>
      <c r="H707" s="88">
        <f>SUM(H708)</f>
        <v>0</v>
      </c>
      <c r="I707" s="88">
        <f>SUM(I708)</f>
        <v>0</v>
      </c>
      <c r="J707" s="42"/>
      <c r="K707" s="35"/>
      <c r="L707" s="35"/>
      <c r="M707" s="36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  <c r="AC707" s="35"/>
    </row>
    <row r="708" spans="1:29" ht="18" customHeight="1" hidden="1">
      <c r="A708" s="125" t="s">
        <v>836</v>
      </c>
      <c r="B708" s="103">
        <v>809</v>
      </c>
      <c r="C708" s="87" t="s">
        <v>45</v>
      </c>
      <c r="D708" s="87" t="s">
        <v>42</v>
      </c>
      <c r="E708" s="87" t="s">
        <v>479</v>
      </c>
      <c r="F708" s="87" t="s">
        <v>545</v>
      </c>
      <c r="G708" s="88"/>
      <c r="H708" s="88"/>
      <c r="I708" s="88"/>
      <c r="J708" s="42"/>
      <c r="K708" s="35"/>
      <c r="L708" s="35"/>
      <c r="M708" s="36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5"/>
    </row>
    <row r="709" spans="1:29" ht="18" customHeight="1">
      <c r="A709" s="131" t="s">
        <v>389</v>
      </c>
      <c r="B709" s="103">
        <v>809</v>
      </c>
      <c r="C709" s="87" t="s">
        <v>45</v>
      </c>
      <c r="D709" s="87" t="s">
        <v>42</v>
      </c>
      <c r="E709" s="87" t="s">
        <v>533</v>
      </c>
      <c r="F709" s="87"/>
      <c r="G709" s="88">
        <f>SUM(G710)</f>
        <v>3906.8</v>
      </c>
      <c r="H709" s="88">
        <f>SUM(H710)</f>
        <v>3161.8</v>
      </c>
      <c r="I709" s="88">
        <f>SUM(I710)</f>
        <v>3169.3</v>
      </c>
      <c r="J709" s="42"/>
      <c r="K709" s="35"/>
      <c r="L709" s="35"/>
      <c r="M709" s="36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  <c r="AC709" s="35"/>
    </row>
    <row r="710" spans="1:29" ht="18" customHeight="1">
      <c r="A710" s="125" t="s">
        <v>140</v>
      </c>
      <c r="B710" s="103">
        <v>809</v>
      </c>
      <c r="C710" s="87" t="s">
        <v>45</v>
      </c>
      <c r="D710" s="87" t="s">
        <v>42</v>
      </c>
      <c r="E710" s="87" t="s">
        <v>533</v>
      </c>
      <c r="F710" s="87" t="s">
        <v>545</v>
      </c>
      <c r="G710" s="88">
        <v>3906.8</v>
      </c>
      <c r="H710" s="88">
        <v>3161.8</v>
      </c>
      <c r="I710" s="88">
        <v>3169.3</v>
      </c>
      <c r="J710" s="42"/>
      <c r="K710" s="35"/>
      <c r="L710" s="35"/>
      <c r="M710" s="36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  <c r="AC710" s="35"/>
    </row>
    <row r="711" spans="1:29" ht="18" customHeight="1">
      <c r="A711" s="133" t="s">
        <v>90</v>
      </c>
      <c r="B711" s="103">
        <v>810</v>
      </c>
      <c r="C711" s="87"/>
      <c r="D711" s="87"/>
      <c r="E711" s="87"/>
      <c r="F711" s="87"/>
      <c r="G711" s="88">
        <f>SUM(G722,G732,G712)</f>
        <v>898486.7000000002</v>
      </c>
      <c r="H711" s="88">
        <f>SUM(H722,H732,H712)</f>
        <v>768495.6000000001</v>
      </c>
      <c r="I711" s="88">
        <f>SUM(I722,I732,I712)</f>
        <v>788244.0000000001</v>
      </c>
      <c r="J711" s="42"/>
      <c r="K711" s="35"/>
      <c r="L711" s="35"/>
      <c r="M711" s="36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  <c r="AC711" s="35"/>
    </row>
    <row r="712" spans="1:29" ht="18" customHeight="1" hidden="1">
      <c r="A712" s="133" t="s">
        <v>418</v>
      </c>
      <c r="B712" s="103">
        <v>810</v>
      </c>
      <c r="C712" s="87" t="s">
        <v>793</v>
      </c>
      <c r="D712" s="87"/>
      <c r="E712" s="87"/>
      <c r="F712" s="87"/>
      <c r="G712" s="88">
        <f>G713</f>
        <v>0</v>
      </c>
      <c r="H712" s="88">
        <f>H713</f>
        <v>0</v>
      </c>
      <c r="I712" s="88">
        <f>I713</f>
        <v>0</v>
      </c>
      <c r="J712" s="42"/>
      <c r="K712" s="35"/>
      <c r="L712" s="35"/>
      <c r="M712" s="36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  <c r="AC712" s="35"/>
    </row>
    <row r="713" spans="1:29" ht="18" customHeight="1" hidden="1">
      <c r="A713" s="124" t="s">
        <v>756</v>
      </c>
      <c r="B713" s="103">
        <v>810</v>
      </c>
      <c r="C713" s="87" t="s">
        <v>793</v>
      </c>
      <c r="D713" s="87" t="s">
        <v>790</v>
      </c>
      <c r="E713" s="87"/>
      <c r="F713" s="87"/>
      <c r="G713" s="88">
        <f>G714+G719</f>
        <v>0</v>
      </c>
      <c r="H713" s="88">
        <f>H714+H719</f>
        <v>0</v>
      </c>
      <c r="I713" s="88">
        <f>I714+I719</f>
        <v>0</v>
      </c>
      <c r="J713" s="42"/>
      <c r="K713" s="35"/>
      <c r="L713" s="35"/>
      <c r="M713" s="36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</row>
    <row r="714" spans="1:29" ht="18" customHeight="1" hidden="1">
      <c r="A714" s="124" t="s">
        <v>758</v>
      </c>
      <c r="B714" s="103">
        <v>810</v>
      </c>
      <c r="C714" s="87" t="s">
        <v>793</v>
      </c>
      <c r="D714" s="87" t="s">
        <v>790</v>
      </c>
      <c r="E714" s="87" t="s">
        <v>757</v>
      </c>
      <c r="F714" s="87"/>
      <c r="G714" s="88">
        <f>G715+G717</f>
        <v>0</v>
      </c>
      <c r="H714" s="88">
        <f>H715+H717</f>
        <v>0</v>
      </c>
      <c r="I714" s="88">
        <f>I715+I717</f>
        <v>0</v>
      </c>
      <c r="J714" s="42"/>
      <c r="K714" s="35"/>
      <c r="L714" s="35"/>
      <c r="M714" s="36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5"/>
    </row>
    <row r="715" spans="1:29" ht="18" customHeight="1" hidden="1">
      <c r="A715" s="124" t="s">
        <v>760</v>
      </c>
      <c r="B715" s="103">
        <v>810</v>
      </c>
      <c r="C715" s="87" t="s">
        <v>793</v>
      </c>
      <c r="D715" s="87" t="s">
        <v>790</v>
      </c>
      <c r="E715" s="87" t="s">
        <v>759</v>
      </c>
      <c r="F715" s="87"/>
      <c r="G715" s="88">
        <f>G716</f>
        <v>0</v>
      </c>
      <c r="H715" s="88">
        <f>H716</f>
        <v>0</v>
      </c>
      <c r="I715" s="88">
        <f>I716</f>
        <v>0</v>
      </c>
      <c r="J715" s="42"/>
      <c r="K715" s="35"/>
      <c r="L715" s="35"/>
      <c r="M715" s="36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5"/>
    </row>
    <row r="716" spans="1:29" ht="18" customHeight="1" hidden="1">
      <c r="A716" s="125" t="s">
        <v>836</v>
      </c>
      <c r="B716" s="103">
        <v>810</v>
      </c>
      <c r="C716" s="87" t="s">
        <v>793</v>
      </c>
      <c r="D716" s="87" t="s">
        <v>790</v>
      </c>
      <c r="E716" s="87" t="s">
        <v>759</v>
      </c>
      <c r="F716" s="87" t="s">
        <v>545</v>
      </c>
      <c r="G716" s="88"/>
      <c r="H716" s="88"/>
      <c r="I716" s="88"/>
      <c r="J716" s="42"/>
      <c r="K716" s="35"/>
      <c r="L716" s="35"/>
      <c r="M716" s="36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5"/>
    </row>
    <row r="717" spans="1:29" ht="36" customHeight="1" hidden="1">
      <c r="A717" s="125" t="s">
        <v>568</v>
      </c>
      <c r="B717" s="103">
        <v>810</v>
      </c>
      <c r="C717" s="87" t="s">
        <v>793</v>
      </c>
      <c r="D717" s="87" t="s">
        <v>790</v>
      </c>
      <c r="E717" s="87" t="s">
        <v>567</v>
      </c>
      <c r="F717" s="87"/>
      <c r="G717" s="88">
        <f>SUM(G718)</f>
        <v>0</v>
      </c>
      <c r="H717" s="88">
        <f>SUM(H718)</f>
        <v>0</v>
      </c>
      <c r="I717" s="88">
        <f>SUM(I718)</f>
        <v>0</v>
      </c>
      <c r="J717" s="42"/>
      <c r="K717" s="35"/>
      <c r="L717" s="35"/>
      <c r="M717" s="36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5"/>
    </row>
    <row r="718" spans="1:29" ht="19.5" customHeight="1" hidden="1">
      <c r="A718" s="125" t="s">
        <v>836</v>
      </c>
      <c r="B718" s="103">
        <v>810</v>
      </c>
      <c r="C718" s="87" t="s">
        <v>793</v>
      </c>
      <c r="D718" s="87" t="s">
        <v>790</v>
      </c>
      <c r="E718" s="87" t="s">
        <v>567</v>
      </c>
      <c r="F718" s="87" t="s">
        <v>545</v>
      </c>
      <c r="G718" s="88"/>
      <c r="H718" s="88"/>
      <c r="I718" s="88"/>
      <c r="J718" s="42"/>
      <c r="K718" s="35"/>
      <c r="L718" s="35"/>
      <c r="M718" s="36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</row>
    <row r="719" spans="1:29" ht="19.5" customHeight="1" hidden="1">
      <c r="A719" s="125" t="s">
        <v>277</v>
      </c>
      <c r="B719" s="103">
        <v>810</v>
      </c>
      <c r="C719" s="87" t="s">
        <v>793</v>
      </c>
      <c r="D719" s="87" t="s">
        <v>790</v>
      </c>
      <c r="E719" s="87" t="s">
        <v>381</v>
      </c>
      <c r="F719" s="87"/>
      <c r="G719" s="88">
        <f aca="true" t="shared" si="73" ref="G719:I720">SUM(G720)</f>
        <v>0</v>
      </c>
      <c r="H719" s="88">
        <f t="shared" si="73"/>
        <v>0</v>
      </c>
      <c r="I719" s="88">
        <f t="shared" si="73"/>
        <v>0</v>
      </c>
      <c r="J719" s="42"/>
      <c r="K719" s="35"/>
      <c r="L719" s="35"/>
      <c r="M719" s="36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</row>
    <row r="720" spans="1:29" ht="36" customHeight="1" hidden="1">
      <c r="A720" s="125" t="s">
        <v>570</v>
      </c>
      <c r="B720" s="103">
        <v>810</v>
      </c>
      <c r="C720" s="87" t="s">
        <v>793</v>
      </c>
      <c r="D720" s="87" t="s">
        <v>790</v>
      </c>
      <c r="E720" s="87" t="s">
        <v>572</v>
      </c>
      <c r="F720" s="87"/>
      <c r="G720" s="88">
        <f t="shared" si="73"/>
        <v>0</v>
      </c>
      <c r="H720" s="88">
        <f t="shared" si="73"/>
        <v>0</v>
      </c>
      <c r="I720" s="88">
        <f t="shared" si="73"/>
        <v>0</v>
      </c>
      <c r="J720" s="42"/>
      <c r="K720" s="35"/>
      <c r="L720" s="35"/>
      <c r="M720" s="36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35"/>
    </row>
    <row r="721" spans="1:29" ht="18.75" customHeight="1" hidden="1">
      <c r="A721" s="125" t="s">
        <v>836</v>
      </c>
      <c r="B721" s="103">
        <v>810</v>
      </c>
      <c r="C721" s="87" t="s">
        <v>793</v>
      </c>
      <c r="D721" s="87" t="s">
        <v>790</v>
      </c>
      <c r="E721" s="87" t="s">
        <v>572</v>
      </c>
      <c r="F721" s="87" t="s">
        <v>545</v>
      </c>
      <c r="G721" s="88"/>
      <c r="H721" s="88"/>
      <c r="I721" s="88"/>
      <c r="J721" s="42"/>
      <c r="K721" s="35"/>
      <c r="L721" s="35"/>
      <c r="M721" s="36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  <c r="AC721" s="35"/>
    </row>
    <row r="722" spans="1:29" ht="17.25" customHeight="1">
      <c r="A722" s="140" t="s">
        <v>412</v>
      </c>
      <c r="B722" s="103">
        <v>810</v>
      </c>
      <c r="C722" s="87" t="s">
        <v>508</v>
      </c>
      <c r="D722" s="87"/>
      <c r="E722" s="87"/>
      <c r="F722" s="87"/>
      <c r="G722" s="88">
        <f>SUM(G723)</f>
        <v>10000</v>
      </c>
      <c r="H722" s="88">
        <f>SUM(H723)</f>
        <v>907</v>
      </c>
      <c r="I722" s="88">
        <f>SUM(I723)</f>
        <v>6599.9</v>
      </c>
      <c r="J722" s="42"/>
      <c r="K722" s="35"/>
      <c r="L722" s="35"/>
      <c r="M722" s="36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35"/>
    </row>
    <row r="723" spans="1:29" ht="18.75" customHeight="1">
      <c r="A723" s="131" t="s">
        <v>231</v>
      </c>
      <c r="B723" s="103">
        <v>810</v>
      </c>
      <c r="C723" s="87" t="s">
        <v>508</v>
      </c>
      <c r="D723" s="87" t="s">
        <v>508</v>
      </c>
      <c r="E723" s="87"/>
      <c r="F723" s="87"/>
      <c r="G723" s="88">
        <f>SUM(G724,G731)</f>
        <v>10000</v>
      </c>
      <c r="H723" s="88">
        <f>SUM(H724,H731)</f>
        <v>907</v>
      </c>
      <c r="I723" s="88">
        <f>SUM(I724,I731)</f>
        <v>6599.9</v>
      </c>
      <c r="J723" s="42"/>
      <c r="K723" s="35"/>
      <c r="L723" s="35"/>
      <c r="M723" s="36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5"/>
    </row>
    <row r="724" spans="1:29" ht="21" customHeight="1" hidden="1">
      <c r="A724" s="125" t="s">
        <v>209</v>
      </c>
      <c r="B724" s="103">
        <v>810</v>
      </c>
      <c r="C724" s="87" t="s">
        <v>508</v>
      </c>
      <c r="D724" s="87" t="s">
        <v>508</v>
      </c>
      <c r="E724" s="87" t="s">
        <v>473</v>
      </c>
      <c r="F724" s="87"/>
      <c r="G724" s="88">
        <f>SUM(G725)</f>
        <v>10000</v>
      </c>
      <c r="H724" s="88">
        <f>SUM(H725)</f>
        <v>0</v>
      </c>
      <c r="I724" s="88">
        <f>SUM(I725)</f>
        <v>0</v>
      </c>
      <c r="J724" s="42"/>
      <c r="K724" s="35"/>
      <c r="L724" s="35"/>
      <c r="M724" s="36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</row>
    <row r="725" spans="1:29" ht="18.75" customHeight="1" hidden="1">
      <c r="A725" s="140" t="s">
        <v>301</v>
      </c>
      <c r="B725" s="103">
        <v>810</v>
      </c>
      <c r="C725" s="87" t="s">
        <v>508</v>
      </c>
      <c r="D725" s="87" t="s">
        <v>508</v>
      </c>
      <c r="E725" s="87" t="s">
        <v>516</v>
      </c>
      <c r="F725" s="87"/>
      <c r="G725" s="88">
        <f>SUM(G726:G728)</f>
        <v>10000</v>
      </c>
      <c r="H725" s="88">
        <f>SUM(H726:H728)</f>
        <v>0</v>
      </c>
      <c r="I725" s="88">
        <f>SUM(I726:I728)</f>
        <v>0</v>
      </c>
      <c r="J725" s="42"/>
      <c r="K725" s="35"/>
      <c r="L725" s="35"/>
      <c r="M725" s="36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</row>
    <row r="726" spans="1:29" ht="17.25" customHeight="1" hidden="1">
      <c r="A726" s="140" t="s">
        <v>300</v>
      </c>
      <c r="B726" s="103">
        <v>810</v>
      </c>
      <c r="C726" s="87" t="s">
        <v>508</v>
      </c>
      <c r="D726" s="87" t="s">
        <v>508</v>
      </c>
      <c r="E726" s="87" t="s">
        <v>516</v>
      </c>
      <c r="F726" s="87" t="s">
        <v>252</v>
      </c>
      <c r="G726" s="88">
        <v>10000</v>
      </c>
      <c r="H726" s="88"/>
      <c r="I726" s="88"/>
      <c r="J726" s="42"/>
      <c r="K726" s="35"/>
      <c r="L726" s="35"/>
      <c r="M726" s="36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</row>
    <row r="727" spans="1:29" ht="21" customHeight="1" hidden="1">
      <c r="A727" s="128" t="s">
        <v>196</v>
      </c>
      <c r="B727" s="103">
        <v>810</v>
      </c>
      <c r="C727" s="87" t="s">
        <v>508</v>
      </c>
      <c r="D727" s="87" t="s">
        <v>508</v>
      </c>
      <c r="E727" s="87" t="s">
        <v>516</v>
      </c>
      <c r="F727" s="87" t="s">
        <v>195</v>
      </c>
      <c r="G727" s="88"/>
      <c r="H727" s="88"/>
      <c r="I727" s="88"/>
      <c r="J727" s="42"/>
      <c r="K727" s="35"/>
      <c r="L727" s="35"/>
      <c r="M727" s="36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5"/>
    </row>
    <row r="728" spans="1:29" ht="21" customHeight="1" hidden="1">
      <c r="A728" s="131" t="s">
        <v>537</v>
      </c>
      <c r="B728" s="103">
        <v>810</v>
      </c>
      <c r="C728" s="87" t="s">
        <v>508</v>
      </c>
      <c r="D728" s="87" t="s">
        <v>508</v>
      </c>
      <c r="E728" s="87" t="s">
        <v>516</v>
      </c>
      <c r="F728" s="87" t="s">
        <v>536</v>
      </c>
      <c r="G728" s="88"/>
      <c r="H728" s="88"/>
      <c r="I728" s="88"/>
      <c r="J728" s="42"/>
      <c r="K728" s="35"/>
      <c r="L728" s="35"/>
      <c r="M728" s="36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  <c r="AC728" s="35"/>
    </row>
    <row r="729" spans="1:13" s="35" customFormat="1" ht="18" customHeight="1">
      <c r="A729" s="148" t="s">
        <v>347</v>
      </c>
      <c r="B729" s="103">
        <v>810</v>
      </c>
      <c r="C729" s="87" t="s">
        <v>508</v>
      </c>
      <c r="D729" s="87" t="s">
        <v>508</v>
      </c>
      <c r="E729" s="87" t="s">
        <v>381</v>
      </c>
      <c r="F729" s="87"/>
      <c r="G729" s="88">
        <f aca="true" t="shared" si="74" ref="G729:I730">G730</f>
        <v>0</v>
      </c>
      <c r="H729" s="88">
        <f t="shared" si="74"/>
        <v>907</v>
      </c>
      <c r="I729" s="88">
        <f t="shared" si="74"/>
        <v>6599.9</v>
      </c>
      <c r="J729" s="42"/>
      <c r="M729" s="36"/>
    </row>
    <row r="730" spans="1:13" s="35" customFormat="1" ht="53.25" customHeight="1">
      <c r="A730" s="128" t="s">
        <v>682</v>
      </c>
      <c r="B730" s="103">
        <v>810</v>
      </c>
      <c r="C730" s="87" t="s">
        <v>508</v>
      </c>
      <c r="D730" s="87" t="s">
        <v>508</v>
      </c>
      <c r="E730" s="87" t="s">
        <v>17</v>
      </c>
      <c r="F730" s="87"/>
      <c r="G730" s="88">
        <f t="shared" si="74"/>
        <v>0</v>
      </c>
      <c r="H730" s="88">
        <f t="shared" si="74"/>
        <v>907</v>
      </c>
      <c r="I730" s="88">
        <f t="shared" si="74"/>
        <v>6599.9</v>
      </c>
      <c r="J730" s="42"/>
      <c r="M730" s="36"/>
    </row>
    <row r="731" spans="1:13" s="35" customFormat="1" ht="18" customHeight="1">
      <c r="A731" s="124" t="s">
        <v>501</v>
      </c>
      <c r="B731" s="103">
        <v>810</v>
      </c>
      <c r="C731" s="87" t="s">
        <v>508</v>
      </c>
      <c r="D731" s="87" t="s">
        <v>508</v>
      </c>
      <c r="E731" s="87" t="s">
        <v>17</v>
      </c>
      <c r="F731" s="87" t="s">
        <v>102</v>
      </c>
      <c r="G731" s="88"/>
      <c r="H731" s="88">
        <v>907</v>
      </c>
      <c r="I731" s="88">
        <v>6599.9</v>
      </c>
      <c r="J731" s="42"/>
      <c r="M731" s="36"/>
    </row>
    <row r="732" spans="1:29" ht="19.5" customHeight="1">
      <c r="A732" s="140" t="s">
        <v>413</v>
      </c>
      <c r="B732" s="103">
        <v>810</v>
      </c>
      <c r="C732" s="87" t="s">
        <v>471</v>
      </c>
      <c r="D732" s="87"/>
      <c r="E732" s="87"/>
      <c r="F732" s="87"/>
      <c r="G732" s="88">
        <f>SUM(G733,G740,G763)</f>
        <v>888486.7000000002</v>
      </c>
      <c r="H732" s="88">
        <f>SUM(H733,H740,H763)</f>
        <v>767588.6000000001</v>
      </c>
      <c r="I732" s="88">
        <f>SUM(I733,I740,I763)</f>
        <v>781644.1000000001</v>
      </c>
      <c r="J732" s="42"/>
      <c r="K732" s="35"/>
      <c r="L732" s="35"/>
      <c r="M732" s="36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  <c r="AA732" s="35"/>
      <c r="AB732" s="35"/>
      <c r="AC732" s="35"/>
    </row>
    <row r="733" spans="1:29" s="48" customFormat="1" ht="17.25" customHeight="1" hidden="1">
      <c r="A733" s="140" t="s">
        <v>168</v>
      </c>
      <c r="B733" s="103">
        <v>810</v>
      </c>
      <c r="C733" s="87" t="s">
        <v>471</v>
      </c>
      <c r="D733" s="87" t="s">
        <v>791</v>
      </c>
      <c r="E733" s="87"/>
      <c r="F733" s="87"/>
      <c r="G733" s="88">
        <f aca="true" t="shared" si="75" ref="G733:I734">SUM(G734)</f>
        <v>0</v>
      </c>
      <c r="H733" s="88">
        <f t="shared" si="75"/>
        <v>0</v>
      </c>
      <c r="I733" s="88">
        <f t="shared" si="75"/>
        <v>0</v>
      </c>
      <c r="J733" s="42"/>
      <c r="K733" s="35"/>
      <c r="L733" s="35"/>
      <c r="M733" s="36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  <c r="AA733" s="35"/>
      <c r="AB733" s="35"/>
      <c r="AC733" s="35"/>
    </row>
    <row r="734" spans="1:29" s="49" customFormat="1" ht="18.75" customHeight="1" hidden="1">
      <c r="A734" s="140" t="s">
        <v>174</v>
      </c>
      <c r="B734" s="103">
        <v>810</v>
      </c>
      <c r="C734" s="87" t="s">
        <v>471</v>
      </c>
      <c r="D734" s="87" t="s">
        <v>791</v>
      </c>
      <c r="E734" s="87" t="s">
        <v>169</v>
      </c>
      <c r="F734" s="87"/>
      <c r="G734" s="88">
        <f t="shared" si="75"/>
        <v>0</v>
      </c>
      <c r="H734" s="88">
        <f t="shared" si="75"/>
        <v>0</v>
      </c>
      <c r="I734" s="88">
        <f t="shared" si="75"/>
        <v>0</v>
      </c>
      <c r="J734" s="42"/>
      <c r="K734" s="35"/>
      <c r="L734" s="35"/>
      <c r="M734" s="36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  <c r="AC734" s="35"/>
    </row>
    <row r="735" spans="1:29" ht="18.75" customHeight="1" hidden="1">
      <c r="A735" s="131" t="s">
        <v>389</v>
      </c>
      <c r="B735" s="103">
        <v>810</v>
      </c>
      <c r="C735" s="87" t="s">
        <v>471</v>
      </c>
      <c r="D735" s="87" t="s">
        <v>791</v>
      </c>
      <c r="E735" s="87" t="s">
        <v>175</v>
      </c>
      <c r="F735" s="87"/>
      <c r="G735" s="88">
        <f>G736</f>
        <v>0</v>
      </c>
      <c r="H735" s="88">
        <f>H736</f>
        <v>0</v>
      </c>
      <c r="I735" s="88">
        <f>I736</f>
        <v>0</v>
      </c>
      <c r="J735" s="42"/>
      <c r="K735" s="35"/>
      <c r="L735" s="35"/>
      <c r="M735" s="36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  <c r="AC735" s="35"/>
    </row>
    <row r="736" spans="1:29" ht="18.75" customHeight="1" hidden="1">
      <c r="A736" s="125" t="s">
        <v>836</v>
      </c>
      <c r="B736" s="103">
        <v>810</v>
      </c>
      <c r="C736" s="87" t="s">
        <v>471</v>
      </c>
      <c r="D736" s="87" t="s">
        <v>791</v>
      </c>
      <c r="E736" s="87" t="s">
        <v>205</v>
      </c>
      <c r="F736" s="87" t="s">
        <v>545</v>
      </c>
      <c r="G736" s="88"/>
      <c r="H736" s="88"/>
      <c r="I736" s="88"/>
      <c r="J736" s="42"/>
      <c r="K736" s="35"/>
      <c r="L736" s="35"/>
      <c r="M736" s="36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  <c r="AC736" s="35"/>
    </row>
    <row r="737" spans="1:29" s="48" customFormat="1" ht="21" customHeight="1" hidden="1">
      <c r="A737" s="125" t="s">
        <v>158</v>
      </c>
      <c r="B737" s="103">
        <v>810</v>
      </c>
      <c r="C737" s="87" t="s">
        <v>471</v>
      </c>
      <c r="D737" s="87" t="s">
        <v>791</v>
      </c>
      <c r="E737" s="87" t="s">
        <v>157</v>
      </c>
      <c r="F737" s="87"/>
      <c r="G737" s="88">
        <f aca="true" t="shared" si="76" ref="G737:I738">G738</f>
        <v>0</v>
      </c>
      <c r="H737" s="88">
        <f t="shared" si="76"/>
        <v>0</v>
      </c>
      <c r="I737" s="88">
        <f t="shared" si="76"/>
        <v>0</v>
      </c>
      <c r="J737" s="42"/>
      <c r="K737" s="35"/>
      <c r="L737" s="35"/>
      <c r="M737" s="36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  <c r="AA737" s="35"/>
      <c r="AB737" s="35"/>
      <c r="AC737" s="35"/>
    </row>
    <row r="738" spans="1:29" s="49" customFormat="1" ht="102.75" customHeight="1" hidden="1">
      <c r="A738" s="125" t="s">
        <v>227</v>
      </c>
      <c r="B738" s="103">
        <v>810</v>
      </c>
      <c r="C738" s="87" t="s">
        <v>471</v>
      </c>
      <c r="D738" s="87" t="s">
        <v>791</v>
      </c>
      <c r="E738" s="87" t="s">
        <v>155</v>
      </c>
      <c r="F738" s="87"/>
      <c r="G738" s="88">
        <f t="shared" si="76"/>
        <v>0</v>
      </c>
      <c r="H738" s="88">
        <f t="shared" si="76"/>
        <v>0</v>
      </c>
      <c r="I738" s="88">
        <f t="shared" si="76"/>
        <v>0</v>
      </c>
      <c r="J738" s="42"/>
      <c r="K738" s="35"/>
      <c r="L738" s="35"/>
      <c r="M738" s="36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  <c r="AA738" s="35"/>
      <c r="AB738" s="35"/>
      <c r="AC738" s="35"/>
    </row>
    <row r="739" spans="1:29" ht="21" customHeight="1" hidden="1">
      <c r="A739" s="125" t="s">
        <v>836</v>
      </c>
      <c r="B739" s="103">
        <v>810</v>
      </c>
      <c r="C739" s="87" t="s">
        <v>471</v>
      </c>
      <c r="D739" s="87" t="s">
        <v>791</v>
      </c>
      <c r="E739" s="87" t="s">
        <v>155</v>
      </c>
      <c r="F739" s="87" t="s">
        <v>545</v>
      </c>
      <c r="G739" s="88"/>
      <c r="H739" s="88"/>
      <c r="I739" s="88"/>
      <c r="J739" s="42"/>
      <c r="K739" s="35"/>
      <c r="L739" s="35"/>
      <c r="M739" s="36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  <c r="AA739" s="35"/>
      <c r="AB739" s="35"/>
      <c r="AC739" s="35"/>
    </row>
    <row r="740" spans="1:29" ht="20.25" customHeight="1">
      <c r="A740" s="140" t="s">
        <v>373</v>
      </c>
      <c r="B740" s="103">
        <v>810</v>
      </c>
      <c r="C740" s="87" t="s">
        <v>471</v>
      </c>
      <c r="D740" s="87" t="s">
        <v>792</v>
      </c>
      <c r="E740" s="87"/>
      <c r="F740" s="87"/>
      <c r="G740" s="88">
        <f>SUM(G741,G746,G755)</f>
        <v>861503.4000000001</v>
      </c>
      <c r="H740" s="88">
        <f>SUM(H741,H746,H755)</f>
        <v>744697.8</v>
      </c>
      <c r="I740" s="88">
        <f>SUM(I741,I746,I755)</f>
        <v>758361.7000000001</v>
      </c>
      <c r="J740" s="42"/>
      <c r="K740" s="35"/>
      <c r="L740" s="35"/>
      <c r="M740" s="36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  <c r="AA740" s="35"/>
      <c r="AB740" s="35"/>
      <c r="AC740" s="35"/>
    </row>
    <row r="741" spans="1:29" ht="18" customHeight="1">
      <c r="A741" s="140" t="s">
        <v>688</v>
      </c>
      <c r="B741" s="103">
        <v>810</v>
      </c>
      <c r="C741" s="87" t="s">
        <v>471</v>
      </c>
      <c r="D741" s="87" t="s">
        <v>792</v>
      </c>
      <c r="E741" s="87" t="s">
        <v>378</v>
      </c>
      <c r="F741" s="87"/>
      <c r="G741" s="88">
        <f>SUM(G742,G744)</f>
        <v>207527</v>
      </c>
      <c r="H741" s="88">
        <f>SUM(H742,H744)</f>
        <v>221059.30000000002</v>
      </c>
      <c r="I741" s="88">
        <f>SUM(I742,I744)</f>
        <v>234438.2</v>
      </c>
      <c r="J741" s="42"/>
      <c r="K741" s="35"/>
      <c r="L741" s="35"/>
      <c r="M741" s="36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  <c r="AA741" s="35"/>
      <c r="AB741" s="35"/>
      <c r="AC741" s="35"/>
    </row>
    <row r="742" spans="1:29" ht="31.5" customHeight="1">
      <c r="A742" s="119" t="s">
        <v>312</v>
      </c>
      <c r="B742" s="103">
        <v>810</v>
      </c>
      <c r="C742" s="87" t="s">
        <v>471</v>
      </c>
      <c r="D742" s="87" t="s">
        <v>792</v>
      </c>
      <c r="E742" s="87" t="s">
        <v>206</v>
      </c>
      <c r="F742" s="87"/>
      <c r="G742" s="88">
        <f>G743</f>
        <v>152963.5</v>
      </c>
      <c r="H742" s="88">
        <f>H743</f>
        <v>168894.7</v>
      </c>
      <c r="I742" s="88">
        <f>I743</f>
        <v>182273.6</v>
      </c>
      <c r="J742" s="42"/>
      <c r="K742" s="35"/>
      <c r="L742" s="35"/>
      <c r="M742" s="36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  <c r="AA742" s="35"/>
      <c r="AB742" s="35"/>
      <c r="AC742" s="35"/>
    </row>
    <row r="743" spans="1:29" ht="18.75" customHeight="1">
      <c r="A743" s="132" t="s">
        <v>687</v>
      </c>
      <c r="B743" s="103">
        <v>810</v>
      </c>
      <c r="C743" s="87" t="s">
        <v>471</v>
      </c>
      <c r="D743" s="87" t="s">
        <v>792</v>
      </c>
      <c r="E743" s="87" t="s">
        <v>80</v>
      </c>
      <c r="F743" s="87" t="s">
        <v>51</v>
      </c>
      <c r="G743" s="88">
        <v>152963.5</v>
      </c>
      <c r="H743" s="88">
        <v>168894.7</v>
      </c>
      <c r="I743" s="88">
        <v>182273.6</v>
      </c>
      <c r="J743" s="42"/>
      <c r="K743" s="35"/>
      <c r="L743" s="35"/>
      <c r="M743" s="36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  <c r="AA743" s="35"/>
      <c r="AB743" s="35"/>
      <c r="AC743" s="35"/>
    </row>
    <row r="744" spans="1:29" ht="38.25" customHeight="1">
      <c r="A744" s="132" t="s">
        <v>328</v>
      </c>
      <c r="B744" s="103">
        <v>810</v>
      </c>
      <c r="C744" s="87" t="s">
        <v>471</v>
      </c>
      <c r="D744" s="87" t="s">
        <v>792</v>
      </c>
      <c r="E744" s="87" t="s">
        <v>274</v>
      </c>
      <c r="F744" s="87"/>
      <c r="G744" s="88">
        <f>SUM(G745)</f>
        <v>54563.5</v>
      </c>
      <c r="H744" s="88">
        <f>SUM(H745)</f>
        <v>52164.6</v>
      </c>
      <c r="I744" s="88">
        <f>SUM(I745)</f>
        <v>52164.6</v>
      </c>
      <c r="J744" s="42"/>
      <c r="K744" s="35"/>
      <c r="L744" s="35"/>
      <c r="M744" s="36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  <c r="AC744" s="35"/>
    </row>
    <row r="745" spans="1:29" s="48" customFormat="1" ht="19.5" customHeight="1">
      <c r="A745" s="132" t="s">
        <v>687</v>
      </c>
      <c r="B745" s="103">
        <v>810</v>
      </c>
      <c r="C745" s="87" t="s">
        <v>471</v>
      </c>
      <c r="D745" s="87" t="s">
        <v>792</v>
      </c>
      <c r="E745" s="87" t="s">
        <v>274</v>
      </c>
      <c r="F745" s="87" t="s">
        <v>51</v>
      </c>
      <c r="G745" s="88">
        <v>54563.5</v>
      </c>
      <c r="H745" s="88">
        <v>52164.6</v>
      </c>
      <c r="I745" s="88">
        <v>52164.6</v>
      </c>
      <c r="J745" s="42"/>
      <c r="K745" s="35"/>
      <c r="L745" s="35"/>
      <c r="M745" s="36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  <c r="AC745" s="35"/>
    </row>
    <row r="746" spans="1:29" ht="19.5" customHeight="1">
      <c r="A746" s="132" t="s">
        <v>117</v>
      </c>
      <c r="B746" s="103">
        <v>810</v>
      </c>
      <c r="C746" s="87" t="s">
        <v>471</v>
      </c>
      <c r="D746" s="87" t="s">
        <v>792</v>
      </c>
      <c r="E746" s="87" t="s">
        <v>416</v>
      </c>
      <c r="F746" s="87"/>
      <c r="G746" s="88">
        <f>G747+G750</f>
        <v>7394.8</v>
      </c>
      <c r="H746" s="88">
        <f>H747+H750</f>
        <v>7849.9</v>
      </c>
      <c r="I746" s="88">
        <f>I747+I750</f>
        <v>8350.1</v>
      </c>
      <c r="J746" s="42"/>
      <c r="K746" s="35"/>
      <c r="L746" s="35"/>
      <c r="M746" s="36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  <c r="AC746" s="35"/>
    </row>
    <row r="747" spans="1:29" ht="19.5" customHeight="1">
      <c r="A747" s="140" t="s">
        <v>176</v>
      </c>
      <c r="B747" s="103">
        <v>810</v>
      </c>
      <c r="C747" s="87" t="s">
        <v>471</v>
      </c>
      <c r="D747" s="87" t="s">
        <v>792</v>
      </c>
      <c r="E747" s="87" t="s">
        <v>417</v>
      </c>
      <c r="F747" s="87"/>
      <c r="G747" s="88">
        <f>G748</f>
        <v>6456</v>
      </c>
      <c r="H747" s="88">
        <f>H748</f>
        <v>6868.5</v>
      </c>
      <c r="I747" s="88">
        <f>I748</f>
        <v>7326.4</v>
      </c>
      <c r="J747" s="42"/>
      <c r="K747" s="35"/>
      <c r="L747" s="35"/>
      <c r="M747" s="36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  <c r="AA747" s="35"/>
      <c r="AB747" s="35"/>
      <c r="AC747" s="35"/>
    </row>
    <row r="748" spans="1:29" ht="17.25" customHeight="1">
      <c r="A748" s="140" t="s">
        <v>796</v>
      </c>
      <c r="B748" s="103">
        <v>810</v>
      </c>
      <c r="C748" s="87" t="s">
        <v>471</v>
      </c>
      <c r="D748" s="87" t="s">
        <v>792</v>
      </c>
      <c r="E748" s="87" t="s">
        <v>795</v>
      </c>
      <c r="F748" s="87"/>
      <c r="G748" s="88">
        <f>SUM(G749:G749)</f>
        <v>6456</v>
      </c>
      <c r="H748" s="88">
        <f>SUM(H749:H749)</f>
        <v>6868.5</v>
      </c>
      <c r="I748" s="88">
        <f>SUM(I749:I749)</f>
        <v>7326.4</v>
      </c>
      <c r="J748" s="42"/>
      <c r="K748" s="35"/>
      <c r="L748" s="35"/>
      <c r="M748" s="36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  <c r="AA748" s="35"/>
      <c r="AB748" s="35"/>
      <c r="AC748" s="35"/>
    </row>
    <row r="749" spans="1:29" ht="19.5" customHeight="1">
      <c r="A749" s="132" t="s">
        <v>207</v>
      </c>
      <c r="B749" s="103">
        <v>810</v>
      </c>
      <c r="C749" s="87" t="s">
        <v>471</v>
      </c>
      <c r="D749" s="87" t="s">
        <v>792</v>
      </c>
      <c r="E749" s="87" t="s">
        <v>795</v>
      </c>
      <c r="F749" s="87" t="s">
        <v>39</v>
      </c>
      <c r="G749" s="88">
        <v>6456</v>
      </c>
      <c r="H749" s="88">
        <v>6868.5</v>
      </c>
      <c r="I749" s="88">
        <v>7326.4</v>
      </c>
      <c r="J749" s="42"/>
      <c r="K749" s="35"/>
      <c r="L749" s="35"/>
      <c r="M749" s="36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  <c r="AA749" s="35"/>
      <c r="AB749" s="35"/>
      <c r="AC749" s="35"/>
    </row>
    <row r="750" spans="1:29" ht="19.5" customHeight="1">
      <c r="A750" s="132" t="s">
        <v>831</v>
      </c>
      <c r="B750" s="103">
        <v>810</v>
      </c>
      <c r="C750" s="87" t="s">
        <v>471</v>
      </c>
      <c r="D750" s="87" t="s">
        <v>792</v>
      </c>
      <c r="E750" s="87" t="s">
        <v>828</v>
      </c>
      <c r="F750" s="87"/>
      <c r="G750" s="88">
        <f>G753+G751</f>
        <v>938.8</v>
      </c>
      <c r="H750" s="88">
        <f>H753+H751</f>
        <v>981.4000000000001</v>
      </c>
      <c r="I750" s="88">
        <f>I753+I751</f>
        <v>1023.6999999999999</v>
      </c>
      <c r="J750" s="42"/>
      <c r="K750" s="35"/>
      <c r="L750" s="35"/>
      <c r="M750" s="36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  <c r="AA750" s="35"/>
      <c r="AB750" s="35"/>
      <c r="AC750" s="35"/>
    </row>
    <row r="751" spans="1:29" ht="36" customHeight="1">
      <c r="A751" s="132" t="s">
        <v>832</v>
      </c>
      <c r="B751" s="103">
        <v>810</v>
      </c>
      <c r="C751" s="87" t="s">
        <v>471</v>
      </c>
      <c r="D751" s="87" t="s">
        <v>792</v>
      </c>
      <c r="E751" s="87" t="s">
        <v>829</v>
      </c>
      <c r="F751" s="87"/>
      <c r="G751" s="88">
        <f>SUM(G752)</f>
        <v>576.8</v>
      </c>
      <c r="H751" s="88">
        <f>SUM(H752)</f>
        <v>601.2</v>
      </c>
      <c r="I751" s="88">
        <f>SUM(I752)</f>
        <v>625.3</v>
      </c>
      <c r="J751" s="42"/>
      <c r="K751" s="35"/>
      <c r="L751" s="35"/>
      <c r="M751" s="36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  <c r="AA751" s="35"/>
      <c r="AB751" s="35"/>
      <c r="AC751" s="35"/>
    </row>
    <row r="752" spans="1:29" ht="18" customHeight="1">
      <c r="A752" s="132" t="s">
        <v>518</v>
      </c>
      <c r="B752" s="103">
        <v>810</v>
      </c>
      <c r="C752" s="87" t="s">
        <v>471</v>
      </c>
      <c r="D752" s="87" t="s">
        <v>792</v>
      </c>
      <c r="E752" s="87" t="s">
        <v>829</v>
      </c>
      <c r="F752" s="87" t="s">
        <v>51</v>
      </c>
      <c r="G752" s="88">
        <v>576.8</v>
      </c>
      <c r="H752" s="88">
        <v>601.2</v>
      </c>
      <c r="I752" s="88">
        <v>625.3</v>
      </c>
      <c r="J752" s="42"/>
      <c r="K752" s="35"/>
      <c r="L752" s="35"/>
      <c r="M752" s="36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  <c r="AA752" s="35"/>
      <c r="AB752" s="35"/>
      <c r="AC752" s="35"/>
    </row>
    <row r="753" spans="1:29" ht="36" customHeight="1">
      <c r="A753" s="132" t="s">
        <v>833</v>
      </c>
      <c r="B753" s="103">
        <v>810</v>
      </c>
      <c r="C753" s="87" t="s">
        <v>471</v>
      </c>
      <c r="D753" s="87" t="s">
        <v>792</v>
      </c>
      <c r="E753" s="87" t="s">
        <v>830</v>
      </c>
      <c r="F753" s="87"/>
      <c r="G753" s="88">
        <f>SUM(G754)</f>
        <v>362</v>
      </c>
      <c r="H753" s="88">
        <f>SUM(H754)</f>
        <v>380.2</v>
      </c>
      <c r="I753" s="88">
        <f>SUM(I754)</f>
        <v>398.4</v>
      </c>
      <c r="J753" s="42"/>
      <c r="K753" s="35"/>
      <c r="L753" s="35"/>
      <c r="M753" s="36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  <c r="AA753" s="35"/>
      <c r="AB753" s="35"/>
      <c r="AC753" s="35"/>
    </row>
    <row r="754" spans="1:29" ht="18" customHeight="1">
      <c r="A754" s="132" t="s">
        <v>518</v>
      </c>
      <c r="B754" s="103">
        <v>810</v>
      </c>
      <c r="C754" s="87" t="s">
        <v>471</v>
      </c>
      <c r="D754" s="87" t="s">
        <v>792</v>
      </c>
      <c r="E754" s="87" t="s">
        <v>830</v>
      </c>
      <c r="F754" s="87" t="s">
        <v>51</v>
      </c>
      <c r="G754" s="88">
        <v>362</v>
      </c>
      <c r="H754" s="88">
        <v>380.2</v>
      </c>
      <c r="I754" s="88">
        <v>398.4</v>
      </c>
      <c r="J754" s="42"/>
      <c r="K754" s="35"/>
      <c r="L754" s="35"/>
      <c r="M754" s="36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  <c r="AC754" s="35"/>
    </row>
    <row r="755" spans="1:29" ht="18" customHeight="1">
      <c r="A755" s="131" t="s">
        <v>14</v>
      </c>
      <c r="B755" s="103">
        <v>810</v>
      </c>
      <c r="C755" s="87" t="s">
        <v>471</v>
      </c>
      <c r="D755" s="87" t="s">
        <v>792</v>
      </c>
      <c r="E755" s="87" t="s">
        <v>15</v>
      </c>
      <c r="F755" s="87"/>
      <c r="G755" s="88">
        <f>G759+G761+G756</f>
        <v>646581.6000000001</v>
      </c>
      <c r="H755" s="88">
        <f>H759+H761+H756</f>
        <v>515788.6</v>
      </c>
      <c r="I755" s="88">
        <f>I759+I761+I756</f>
        <v>515573.4</v>
      </c>
      <c r="J755" s="42"/>
      <c r="K755" s="35"/>
      <c r="L755" s="35"/>
      <c r="M755" s="36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  <c r="AC755" s="35"/>
    </row>
    <row r="756" spans="1:29" ht="23.25" customHeight="1">
      <c r="A756" s="125" t="s">
        <v>19</v>
      </c>
      <c r="B756" s="103">
        <v>810</v>
      </c>
      <c r="C756" s="87" t="s">
        <v>471</v>
      </c>
      <c r="D756" s="87" t="s">
        <v>792</v>
      </c>
      <c r="E756" s="87" t="s">
        <v>18</v>
      </c>
      <c r="F756" s="87"/>
      <c r="G756" s="88">
        <f aca="true" t="shared" si="77" ref="G756:I757">G757</f>
        <v>730.8</v>
      </c>
      <c r="H756" s="88">
        <f t="shared" si="77"/>
        <v>698</v>
      </c>
      <c r="I756" s="88">
        <f t="shared" si="77"/>
        <v>698</v>
      </c>
      <c r="J756" s="42"/>
      <c r="K756" s="35"/>
      <c r="L756" s="35"/>
      <c r="M756" s="36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  <c r="AC756" s="35"/>
    </row>
    <row r="757" spans="1:29" ht="131.25" customHeight="1">
      <c r="A757" s="118" t="s">
        <v>315</v>
      </c>
      <c r="B757" s="103">
        <v>810</v>
      </c>
      <c r="C757" s="87" t="s">
        <v>471</v>
      </c>
      <c r="D757" s="87" t="s">
        <v>792</v>
      </c>
      <c r="E757" s="87" t="s">
        <v>20</v>
      </c>
      <c r="F757" s="87"/>
      <c r="G757" s="88">
        <f t="shared" si="77"/>
        <v>730.8</v>
      </c>
      <c r="H757" s="88">
        <f t="shared" si="77"/>
        <v>698</v>
      </c>
      <c r="I757" s="88">
        <f t="shared" si="77"/>
        <v>698</v>
      </c>
      <c r="J757" s="42"/>
      <c r="K757" s="35"/>
      <c r="L757" s="35"/>
      <c r="M757" s="36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  <c r="AA757" s="35"/>
      <c r="AB757" s="35"/>
      <c r="AC757" s="35"/>
    </row>
    <row r="758" spans="1:29" ht="18" customHeight="1">
      <c r="A758" s="131" t="s">
        <v>541</v>
      </c>
      <c r="B758" s="103">
        <v>810</v>
      </c>
      <c r="C758" s="87" t="s">
        <v>471</v>
      </c>
      <c r="D758" s="87" t="s">
        <v>792</v>
      </c>
      <c r="E758" s="87" t="s">
        <v>20</v>
      </c>
      <c r="F758" s="87" t="s">
        <v>51</v>
      </c>
      <c r="G758" s="88">
        <v>730.8</v>
      </c>
      <c r="H758" s="88">
        <v>698</v>
      </c>
      <c r="I758" s="88">
        <v>698</v>
      </c>
      <c r="J758" s="42"/>
      <c r="K758" s="35"/>
      <c r="L758" s="35"/>
      <c r="M758" s="36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  <c r="AA758" s="35"/>
      <c r="AB758" s="35"/>
      <c r="AC758" s="35"/>
    </row>
    <row r="759" spans="1:29" ht="121.5" customHeight="1">
      <c r="A759" s="131" t="s">
        <v>820</v>
      </c>
      <c r="B759" s="103">
        <v>810</v>
      </c>
      <c r="C759" s="87" t="s">
        <v>471</v>
      </c>
      <c r="D759" s="87" t="s">
        <v>792</v>
      </c>
      <c r="E759" s="87" t="s">
        <v>13</v>
      </c>
      <c r="F759" s="87"/>
      <c r="G759" s="88">
        <f>G760</f>
        <v>502950.8</v>
      </c>
      <c r="H759" s="88">
        <f>H760</f>
        <v>379247.2</v>
      </c>
      <c r="I759" s="88">
        <f>I760</f>
        <v>379032</v>
      </c>
      <c r="J759" s="42"/>
      <c r="K759" s="35"/>
      <c r="L759" s="35"/>
      <c r="M759" s="36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  <c r="AA759" s="35"/>
      <c r="AB759" s="35"/>
      <c r="AC759" s="35"/>
    </row>
    <row r="760" spans="1:29" ht="18" customHeight="1">
      <c r="A760" s="131" t="s">
        <v>541</v>
      </c>
      <c r="B760" s="103">
        <v>810</v>
      </c>
      <c r="C760" s="87" t="s">
        <v>471</v>
      </c>
      <c r="D760" s="87" t="s">
        <v>792</v>
      </c>
      <c r="E760" s="87" t="s">
        <v>13</v>
      </c>
      <c r="F760" s="87" t="s">
        <v>51</v>
      </c>
      <c r="G760" s="88">
        <v>502950.8</v>
      </c>
      <c r="H760" s="88">
        <v>379247.2</v>
      </c>
      <c r="I760" s="88">
        <v>379032</v>
      </c>
      <c r="J760" s="42"/>
      <c r="K760" s="35"/>
      <c r="L760" s="35"/>
      <c r="M760" s="36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  <c r="AA760" s="35"/>
      <c r="AB760" s="35"/>
      <c r="AC760" s="35"/>
    </row>
    <row r="761" spans="1:29" ht="154.5" customHeight="1">
      <c r="A761" s="131" t="s">
        <v>821</v>
      </c>
      <c r="B761" s="103">
        <v>810</v>
      </c>
      <c r="C761" s="87" t="s">
        <v>471</v>
      </c>
      <c r="D761" s="87" t="s">
        <v>792</v>
      </c>
      <c r="E761" s="87" t="s">
        <v>16</v>
      </c>
      <c r="F761" s="87"/>
      <c r="G761" s="88">
        <f>G762</f>
        <v>142900</v>
      </c>
      <c r="H761" s="88">
        <f>H762</f>
        <v>135843.4</v>
      </c>
      <c r="I761" s="88">
        <f>I762</f>
        <v>135843.4</v>
      </c>
      <c r="J761" s="42"/>
      <c r="K761" s="35"/>
      <c r="L761" s="35"/>
      <c r="M761" s="36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  <c r="AA761" s="35"/>
      <c r="AB761" s="35"/>
      <c r="AC761" s="35"/>
    </row>
    <row r="762" spans="1:29" ht="18" customHeight="1">
      <c r="A762" s="131" t="s">
        <v>541</v>
      </c>
      <c r="B762" s="103">
        <v>810</v>
      </c>
      <c r="C762" s="87" t="s">
        <v>471</v>
      </c>
      <c r="D762" s="87" t="s">
        <v>792</v>
      </c>
      <c r="E762" s="87" t="s">
        <v>16</v>
      </c>
      <c r="F762" s="87" t="s">
        <v>51</v>
      </c>
      <c r="G762" s="88">
        <v>142900</v>
      </c>
      <c r="H762" s="88">
        <v>135843.4</v>
      </c>
      <c r="I762" s="88">
        <v>135843.4</v>
      </c>
      <c r="J762" s="42"/>
      <c r="K762" s="35"/>
      <c r="L762" s="35"/>
      <c r="M762" s="36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  <c r="AC762" s="35"/>
    </row>
    <row r="763" spans="1:29" ht="18" customHeight="1">
      <c r="A763" s="131" t="s">
        <v>472</v>
      </c>
      <c r="B763" s="103">
        <v>810</v>
      </c>
      <c r="C763" s="87" t="s">
        <v>471</v>
      </c>
      <c r="D763" s="87" t="s">
        <v>794</v>
      </c>
      <c r="E763" s="87"/>
      <c r="F763" s="87"/>
      <c r="G763" s="88">
        <f>SUM(G764,G767,G780,G770,G777)</f>
        <v>26983.3</v>
      </c>
      <c r="H763" s="88">
        <f>SUM(H764,H767,H780,H770,H777)</f>
        <v>22890.799999999996</v>
      </c>
      <c r="I763" s="88">
        <f>SUM(I764,I767,I780,I770,I777)</f>
        <v>23282.399999999998</v>
      </c>
      <c r="J763" s="42"/>
      <c r="K763" s="35"/>
      <c r="L763" s="35"/>
      <c r="M763" s="36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  <c r="AA763" s="35"/>
      <c r="AB763" s="35"/>
      <c r="AC763" s="35"/>
    </row>
    <row r="764" spans="1:29" ht="54.75" customHeight="1">
      <c r="A764" s="125" t="s">
        <v>26</v>
      </c>
      <c r="B764" s="103">
        <v>810</v>
      </c>
      <c r="C764" s="87" t="s">
        <v>471</v>
      </c>
      <c r="D764" s="87" t="s">
        <v>794</v>
      </c>
      <c r="E764" s="87" t="s">
        <v>27</v>
      </c>
      <c r="F764" s="87"/>
      <c r="G764" s="88">
        <f aca="true" t="shared" si="78" ref="G764:I765">SUM(G765)</f>
        <v>24520.8</v>
      </c>
      <c r="H764" s="88">
        <f t="shared" si="78"/>
        <v>20784.399999999998</v>
      </c>
      <c r="I764" s="88">
        <f t="shared" si="78"/>
        <v>20845.899999999998</v>
      </c>
      <c r="J764" s="42"/>
      <c r="K764" s="35"/>
      <c r="L764" s="35"/>
      <c r="M764" s="36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C764" s="35"/>
    </row>
    <row r="765" spans="1:29" ht="18" customHeight="1">
      <c r="A765" s="125" t="s">
        <v>31</v>
      </c>
      <c r="B765" s="103">
        <v>810</v>
      </c>
      <c r="C765" s="87" t="s">
        <v>471</v>
      </c>
      <c r="D765" s="87" t="s">
        <v>794</v>
      </c>
      <c r="E765" s="87" t="s">
        <v>29</v>
      </c>
      <c r="F765" s="87"/>
      <c r="G765" s="88">
        <f t="shared" si="78"/>
        <v>24520.8</v>
      </c>
      <c r="H765" s="88">
        <f t="shared" si="78"/>
        <v>20784.399999999998</v>
      </c>
      <c r="I765" s="88">
        <f t="shared" si="78"/>
        <v>20845.899999999998</v>
      </c>
      <c r="J765" s="42"/>
      <c r="K765" s="35"/>
      <c r="L765" s="35"/>
      <c r="M765" s="36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  <c r="AC765" s="35"/>
    </row>
    <row r="766" spans="1:29" ht="18" customHeight="1">
      <c r="A766" s="124" t="s">
        <v>346</v>
      </c>
      <c r="B766" s="103">
        <v>810</v>
      </c>
      <c r="C766" s="87" t="s">
        <v>471</v>
      </c>
      <c r="D766" s="87" t="s">
        <v>794</v>
      </c>
      <c r="E766" s="87" t="s">
        <v>29</v>
      </c>
      <c r="F766" s="87" t="s">
        <v>197</v>
      </c>
      <c r="G766" s="88">
        <f>21654.5+2866.3</f>
        <v>24520.8</v>
      </c>
      <c r="H766" s="88">
        <f>17918.1+2866.3</f>
        <v>20784.399999999998</v>
      </c>
      <c r="I766" s="88">
        <f>17979.6+2866.3</f>
        <v>20845.899999999998</v>
      </c>
      <c r="J766" s="42"/>
      <c r="K766" s="35"/>
      <c r="L766" s="35"/>
      <c r="M766" s="36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  <c r="AC766" s="35"/>
    </row>
    <row r="767" spans="1:29" ht="54" customHeight="1">
      <c r="A767" s="125" t="s">
        <v>823</v>
      </c>
      <c r="B767" s="103">
        <v>810</v>
      </c>
      <c r="C767" s="87" t="s">
        <v>471</v>
      </c>
      <c r="D767" s="87" t="s">
        <v>794</v>
      </c>
      <c r="E767" s="87" t="s">
        <v>532</v>
      </c>
      <c r="F767" s="87"/>
      <c r="G767" s="88">
        <f aca="true" t="shared" si="79" ref="G767:I768">SUM(G768)</f>
        <v>862.3</v>
      </c>
      <c r="H767" s="88">
        <f t="shared" si="79"/>
        <v>871.8</v>
      </c>
      <c r="I767" s="88">
        <f t="shared" si="79"/>
        <v>881.9</v>
      </c>
      <c r="J767" s="42"/>
      <c r="K767" s="35"/>
      <c r="L767" s="35"/>
      <c r="M767" s="36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  <c r="AC767" s="35"/>
    </row>
    <row r="768" spans="1:29" ht="18" customHeight="1">
      <c r="A768" s="131" t="s">
        <v>389</v>
      </c>
      <c r="B768" s="103">
        <v>810</v>
      </c>
      <c r="C768" s="87" t="s">
        <v>471</v>
      </c>
      <c r="D768" s="87" t="s">
        <v>794</v>
      </c>
      <c r="E768" s="87" t="s">
        <v>533</v>
      </c>
      <c r="F768" s="87"/>
      <c r="G768" s="88">
        <f t="shared" si="79"/>
        <v>862.3</v>
      </c>
      <c r="H768" s="88">
        <f t="shared" si="79"/>
        <v>871.8</v>
      </c>
      <c r="I768" s="88">
        <f t="shared" si="79"/>
        <v>881.9</v>
      </c>
      <c r="J768" s="42"/>
      <c r="K768" s="35"/>
      <c r="L768" s="35"/>
      <c r="M768" s="36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  <c r="AC768" s="35"/>
    </row>
    <row r="769" spans="1:29" ht="18" customHeight="1">
      <c r="A769" s="125" t="s">
        <v>836</v>
      </c>
      <c r="B769" s="103">
        <v>810</v>
      </c>
      <c r="C769" s="87" t="s">
        <v>471</v>
      </c>
      <c r="D769" s="87" t="s">
        <v>794</v>
      </c>
      <c r="E769" s="87" t="s">
        <v>533</v>
      </c>
      <c r="F769" s="87" t="s">
        <v>545</v>
      </c>
      <c r="G769" s="88">
        <v>862.3</v>
      </c>
      <c r="H769" s="88">
        <v>871.8</v>
      </c>
      <c r="I769" s="88">
        <v>881.9</v>
      </c>
      <c r="J769" s="42"/>
      <c r="K769" s="35"/>
      <c r="L769" s="35"/>
      <c r="M769" s="36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  <c r="AA769" s="35"/>
      <c r="AB769" s="35"/>
      <c r="AC769" s="35"/>
    </row>
    <row r="770" spans="1:29" ht="18" customHeight="1" hidden="1">
      <c r="A770" s="140" t="s">
        <v>79</v>
      </c>
      <c r="B770" s="103">
        <v>810</v>
      </c>
      <c r="C770" s="87" t="s">
        <v>471</v>
      </c>
      <c r="D770" s="87" t="s">
        <v>794</v>
      </c>
      <c r="E770" s="87" t="s">
        <v>378</v>
      </c>
      <c r="F770" s="87"/>
      <c r="G770" s="88">
        <f>SUM(G771,G774)</f>
        <v>0</v>
      </c>
      <c r="H770" s="88">
        <f>SUM(H771,H774)</f>
        <v>0</v>
      </c>
      <c r="I770" s="88">
        <f>SUM(I771,I774)</f>
        <v>0</v>
      </c>
      <c r="J770" s="42"/>
      <c r="K770" s="35"/>
      <c r="L770" s="35"/>
      <c r="M770" s="36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  <c r="AA770" s="35"/>
      <c r="AB770" s="35"/>
      <c r="AC770" s="35"/>
    </row>
    <row r="771" spans="1:29" ht="18" customHeight="1" hidden="1">
      <c r="A771" s="132" t="s">
        <v>211</v>
      </c>
      <c r="B771" s="103">
        <v>810</v>
      </c>
      <c r="C771" s="87" t="s">
        <v>471</v>
      </c>
      <c r="D771" s="87" t="s">
        <v>794</v>
      </c>
      <c r="E771" s="87" t="s">
        <v>80</v>
      </c>
      <c r="F771" s="87"/>
      <c r="G771" s="88"/>
      <c r="H771" s="88"/>
      <c r="I771" s="88"/>
      <c r="J771" s="42"/>
      <c r="K771" s="35"/>
      <c r="L771" s="35"/>
      <c r="M771" s="36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  <c r="AA771" s="35"/>
      <c r="AB771" s="35"/>
      <c r="AC771" s="35"/>
    </row>
    <row r="772" spans="1:29" ht="18" customHeight="1" hidden="1">
      <c r="A772" s="125" t="s">
        <v>363</v>
      </c>
      <c r="B772" s="103">
        <v>810</v>
      </c>
      <c r="C772" s="87" t="s">
        <v>471</v>
      </c>
      <c r="D772" s="87" t="s">
        <v>794</v>
      </c>
      <c r="E772" s="87" t="s">
        <v>80</v>
      </c>
      <c r="F772" s="87" t="s">
        <v>195</v>
      </c>
      <c r="G772" s="88"/>
      <c r="H772" s="88"/>
      <c r="I772" s="88"/>
      <c r="J772" s="42"/>
      <c r="K772" s="35"/>
      <c r="L772" s="35"/>
      <c r="M772" s="36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  <c r="AA772" s="35"/>
      <c r="AB772" s="35"/>
      <c r="AC772" s="35"/>
    </row>
    <row r="773" spans="1:29" ht="18" customHeight="1" hidden="1">
      <c r="A773" s="132" t="s">
        <v>273</v>
      </c>
      <c r="B773" s="103">
        <v>810</v>
      </c>
      <c r="C773" s="87" t="s">
        <v>471</v>
      </c>
      <c r="D773" s="87" t="s">
        <v>794</v>
      </c>
      <c r="E773" s="87" t="s">
        <v>274</v>
      </c>
      <c r="F773" s="87"/>
      <c r="G773" s="88">
        <f>SUM(G774)</f>
        <v>0</v>
      </c>
      <c r="H773" s="88">
        <f>SUM(H774)</f>
        <v>0</v>
      </c>
      <c r="I773" s="88">
        <f>SUM(I774)</f>
        <v>0</v>
      </c>
      <c r="J773" s="42"/>
      <c r="K773" s="35"/>
      <c r="L773" s="35"/>
      <c r="M773" s="36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  <c r="AC773" s="35"/>
    </row>
    <row r="774" spans="1:29" ht="35.25" customHeight="1" hidden="1">
      <c r="A774" s="132" t="s">
        <v>99</v>
      </c>
      <c r="B774" s="103">
        <v>810</v>
      </c>
      <c r="C774" s="87" t="s">
        <v>471</v>
      </c>
      <c r="D774" s="87" t="s">
        <v>794</v>
      </c>
      <c r="E774" s="87" t="s">
        <v>274</v>
      </c>
      <c r="F774" s="87"/>
      <c r="G774" s="88">
        <f>G775+G776</f>
        <v>0</v>
      </c>
      <c r="H774" s="88">
        <f>H775+H776</f>
        <v>0</v>
      </c>
      <c r="I774" s="88">
        <f>I775+I776</f>
        <v>0</v>
      </c>
      <c r="J774" s="42"/>
      <c r="K774" s="35"/>
      <c r="L774" s="35"/>
      <c r="M774" s="36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5"/>
    </row>
    <row r="775" spans="1:29" ht="19.5" customHeight="1" hidden="1">
      <c r="A775" s="125" t="s">
        <v>836</v>
      </c>
      <c r="B775" s="103">
        <v>810</v>
      </c>
      <c r="C775" s="87" t="s">
        <v>471</v>
      </c>
      <c r="D775" s="87" t="s">
        <v>794</v>
      </c>
      <c r="E775" s="87" t="s">
        <v>274</v>
      </c>
      <c r="F775" s="87" t="s">
        <v>545</v>
      </c>
      <c r="G775" s="88"/>
      <c r="H775" s="88"/>
      <c r="I775" s="88"/>
      <c r="J775" s="42"/>
      <c r="K775" s="35"/>
      <c r="L775" s="35"/>
      <c r="M775" s="36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  <c r="AC775" s="35"/>
    </row>
    <row r="776" spans="1:29" ht="18" customHeight="1" hidden="1">
      <c r="A776" s="125" t="s">
        <v>363</v>
      </c>
      <c r="B776" s="103">
        <v>810</v>
      </c>
      <c r="C776" s="87" t="s">
        <v>471</v>
      </c>
      <c r="D776" s="87" t="s">
        <v>794</v>
      </c>
      <c r="E776" s="87" t="s">
        <v>274</v>
      </c>
      <c r="F776" s="87" t="s">
        <v>195</v>
      </c>
      <c r="G776" s="88"/>
      <c r="H776" s="88"/>
      <c r="I776" s="88"/>
      <c r="J776" s="42"/>
      <c r="K776" s="35"/>
      <c r="L776" s="35"/>
      <c r="M776" s="36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  <c r="AC776" s="35"/>
    </row>
    <row r="777" spans="1:29" ht="18" customHeight="1">
      <c r="A777" s="131" t="s">
        <v>14</v>
      </c>
      <c r="B777" s="103">
        <v>810</v>
      </c>
      <c r="C777" s="87" t="s">
        <v>471</v>
      </c>
      <c r="D777" s="87" t="s">
        <v>794</v>
      </c>
      <c r="E777" s="87" t="s">
        <v>15</v>
      </c>
      <c r="F777" s="87"/>
      <c r="G777" s="88">
        <f>SUM(G778)</f>
        <v>1300.2</v>
      </c>
      <c r="H777" s="88">
        <f>SUM(H778)</f>
        <v>1234.6</v>
      </c>
      <c r="I777" s="88">
        <f>SUM(I778)</f>
        <v>1234.6</v>
      </c>
      <c r="J777" s="42"/>
      <c r="K777" s="35"/>
      <c r="L777" s="35"/>
      <c r="M777" s="36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  <c r="AA777" s="35"/>
      <c r="AB777" s="35"/>
      <c r="AC777" s="35"/>
    </row>
    <row r="778" spans="1:29" ht="51" customHeight="1">
      <c r="A778" s="124" t="s">
        <v>578</v>
      </c>
      <c r="B778" s="103">
        <v>810</v>
      </c>
      <c r="C778" s="87" t="s">
        <v>471</v>
      </c>
      <c r="D778" s="87" t="s">
        <v>794</v>
      </c>
      <c r="E778" s="87" t="s">
        <v>337</v>
      </c>
      <c r="F778" s="87"/>
      <c r="G778" s="88">
        <f>G779</f>
        <v>1300.2</v>
      </c>
      <c r="H778" s="88">
        <f>H779</f>
        <v>1234.6</v>
      </c>
      <c r="I778" s="88">
        <f>I779</f>
        <v>1234.6</v>
      </c>
      <c r="J778" s="42"/>
      <c r="K778" s="35"/>
      <c r="L778" s="35"/>
      <c r="M778" s="36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  <c r="AC778" s="35"/>
    </row>
    <row r="779" spans="1:29" ht="18" customHeight="1">
      <c r="A779" s="125" t="s">
        <v>363</v>
      </c>
      <c r="B779" s="103">
        <v>810</v>
      </c>
      <c r="C779" s="87" t="s">
        <v>471</v>
      </c>
      <c r="D779" s="87" t="s">
        <v>794</v>
      </c>
      <c r="E779" s="87" t="s">
        <v>337</v>
      </c>
      <c r="F779" s="87" t="s">
        <v>195</v>
      </c>
      <c r="G779" s="88">
        <v>1300.2</v>
      </c>
      <c r="H779" s="88">
        <v>1234.6</v>
      </c>
      <c r="I779" s="88">
        <v>1234.6</v>
      </c>
      <c r="J779" s="42"/>
      <c r="K779" s="35"/>
      <c r="L779" s="35"/>
      <c r="M779" s="36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  <c r="AA779" s="35"/>
      <c r="AB779" s="35"/>
      <c r="AC779" s="35"/>
    </row>
    <row r="780" spans="1:29" ht="18" customHeight="1">
      <c r="A780" s="140" t="s">
        <v>349</v>
      </c>
      <c r="B780" s="103">
        <v>810</v>
      </c>
      <c r="C780" s="87" t="s">
        <v>471</v>
      </c>
      <c r="D780" s="87" t="s">
        <v>794</v>
      </c>
      <c r="E780" s="104" t="s">
        <v>343</v>
      </c>
      <c r="F780" s="104"/>
      <c r="G780" s="88">
        <f>SUM(G782)</f>
        <v>300</v>
      </c>
      <c r="H780" s="88">
        <f>SUM(H782)</f>
        <v>0</v>
      </c>
      <c r="I780" s="88">
        <f>SUM(I782)</f>
        <v>320</v>
      </c>
      <c r="J780" s="42"/>
      <c r="K780" s="35"/>
      <c r="L780" s="35"/>
      <c r="M780" s="36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  <c r="AA780" s="35"/>
      <c r="AB780" s="35"/>
      <c r="AC780" s="35"/>
    </row>
    <row r="781" spans="1:29" ht="18" customHeight="1">
      <c r="A781" s="140" t="s">
        <v>380</v>
      </c>
      <c r="B781" s="103">
        <v>810</v>
      </c>
      <c r="C781" s="87" t="s">
        <v>471</v>
      </c>
      <c r="D781" s="87" t="s">
        <v>794</v>
      </c>
      <c r="E781" s="104" t="s">
        <v>344</v>
      </c>
      <c r="F781" s="104"/>
      <c r="G781" s="88">
        <f>G782</f>
        <v>300</v>
      </c>
      <c r="H781" s="88">
        <f>H782</f>
        <v>0</v>
      </c>
      <c r="I781" s="88">
        <f>I782</f>
        <v>320</v>
      </c>
      <c r="J781" s="42"/>
      <c r="K781" s="35"/>
      <c r="L781" s="35"/>
      <c r="M781" s="36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  <c r="AA781" s="35"/>
      <c r="AB781" s="35"/>
      <c r="AC781" s="35"/>
    </row>
    <row r="782" spans="1:29" ht="20.25" customHeight="1">
      <c r="A782" s="131" t="s">
        <v>198</v>
      </c>
      <c r="B782" s="103">
        <v>810</v>
      </c>
      <c r="C782" s="87" t="s">
        <v>471</v>
      </c>
      <c r="D782" s="87" t="s">
        <v>794</v>
      </c>
      <c r="E782" s="87" t="s">
        <v>354</v>
      </c>
      <c r="F782" s="87"/>
      <c r="G782" s="88">
        <f>SUM(G783)</f>
        <v>300</v>
      </c>
      <c r="H782" s="88">
        <f>SUM(H783)</f>
        <v>0</v>
      </c>
      <c r="I782" s="88">
        <f>SUM(I783)</f>
        <v>320</v>
      </c>
      <c r="J782" s="42"/>
      <c r="K782" s="35"/>
      <c r="L782" s="35"/>
      <c r="M782" s="36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  <c r="AA782" s="35"/>
      <c r="AB782" s="35"/>
      <c r="AC782" s="35"/>
    </row>
    <row r="783" spans="1:29" ht="18" customHeight="1">
      <c r="A783" s="124" t="s">
        <v>503</v>
      </c>
      <c r="B783" s="103">
        <v>810</v>
      </c>
      <c r="C783" s="87" t="s">
        <v>471</v>
      </c>
      <c r="D783" s="87" t="s">
        <v>794</v>
      </c>
      <c r="E783" s="87" t="s">
        <v>354</v>
      </c>
      <c r="F783" s="87" t="s">
        <v>39</v>
      </c>
      <c r="G783" s="88">
        <v>300</v>
      </c>
      <c r="H783" s="88"/>
      <c r="I783" s="88">
        <v>320</v>
      </c>
      <c r="J783" s="42"/>
      <c r="K783" s="35"/>
      <c r="L783" s="35"/>
      <c r="M783" s="36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  <c r="AA783" s="35"/>
      <c r="AB783" s="35"/>
      <c r="AC783" s="35"/>
    </row>
    <row r="784" spans="1:29" ht="19.5" customHeight="1">
      <c r="A784" s="133" t="s">
        <v>91</v>
      </c>
      <c r="B784" s="103">
        <v>811</v>
      </c>
      <c r="C784" s="87"/>
      <c r="D784" s="87"/>
      <c r="E784" s="105"/>
      <c r="F784" s="105"/>
      <c r="G784" s="88">
        <f>SUM(G785,G798)</f>
        <v>39007.8</v>
      </c>
      <c r="H784" s="88">
        <f>SUM(H785,H798)</f>
        <v>30421.300000000003</v>
      </c>
      <c r="I784" s="88">
        <f>SUM(I785,I798)</f>
        <v>29871.800000000003</v>
      </c>
      <c r="J784" s="42"/>
      <c r="K784" s="35"/>
      <c r="L784" s="35"/>
      <c r="M784" s="36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  <c r="AA784" s="35"/>
      <c r="AB784" s="35"/>
      <c r="AC784" s="35"/>
    </row>
    <row r="785" spans="1:29" ht="19.5" customHeight="1">
      <c r="A785" s="141" t="s">
        <v>0</v>
      </c>
      <c r="B785" s="103">
        <v>811</v>
      </c>
      <c r="C785" s="87" t="s">
        <v>790</v>
      </c>
      <c r="D785" s="87"/>
      <c r="E785" s="105"/>
      <c r="F785" s="105"/>
      <c r="G785" s="88">
        <f>SUM(G786)</f>
        <v>13950.4</v>
      </c>
      <c r="H785" s="88">
        <f>SUM(H786)</f>
        <v>5318.9</v>
      </c>
      <c r="I785" s="88">
        <f>SUM(I786)</f>
        <v>4727</v>
      </c>
      <c r="J785" s="42"/>
      <c r="K785" s="35"/>
      <c r="L785" s="35"/>
      <c r="M785" s="36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  <c r="AC785" s="35"/>
    </row>
    <row r="786" spans="1:29" ht="19.5" customHeight="1">
      <c r="A786" s="131" t="s">
        <v>305</v>
      </c>
      <c r="B786" s="103">
        <v>811</v>
      </c>
      <c r="C786" s="87" t="s">
        <v>790</v>
      </c>
      <c r="D786" s="87" t="s">
        <v>487</v>
      </c>
      <c r="E786" s="105"/>
      <c r="F786" s="105"/>
      <c r="G786" s="88">
        <f>SUM(G789,G792,G795,G787)</f>
        <v>13950.4</v>
      </c>
      <c r="H786" s="88">
        <f>SUM(H789,H792,H795)</f>
        <v>5318.9</v>
      </c>
      <c r="I786" s="88">
        <f>SUM(I789,I792,I795)</f>
        <v>4727</v>
      </c>
      <c r="J786" s="42"/>
      <c r="K786" s="35"/>
      <c r="L786" s="35"/>
      <c r="M786" s="36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  <c r="AC786" s="35"/>
    </row>
    <row r="787" spans="1:29" ht="18" customHeight="1" hidden="1">
      <c r="A787" s="124" t="s">
        <v>580</v>
      </c>
      <c r="B787" s="103">
        <v>811</v>
      </c>
      <c r="C787" s="87" t="s">
        <v>790</v>
      </c>
      <c r="D787" s="87" t="s">
        <v>487</v>
      </c>
      <c r="E787" s="87" t="s">
        <v>204</v>
      </c>
      <c r="F787" s="87"/>
      <c r="G787" s="88">
        <f>G788</f>
        <v>2768</v>
      </c>
      <c r="H787" s="88">
        <f>H788</f>
        <v>0</v>
      </c>
      <c r="I787" s="88">
        <f>I788</f>
        <v>0</v>
      </c>
      <c r="J787" s="42"/>
      <c r="K787" s="35"/>
      <c r="L787" s="35"/>
      <c r="M787" s="36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  <c r="AC787" s="35"/>
    </row>
    <row r="788" spans="1:29" ht="19.5" customHeight="1" hidden="1">
      <c r="A788" s="125" t="s">
        <v>363</v>
      </c>
      <c r="B788" s="103">
        <v>811</v>
      </c>
      <c r="C788" s="87" t="s">
        <v>790</v>
      </c>
      <c r="D788" s="87" t="s">
        <v>487</v>
      </c>
      <c r="E788" s="87" t="s">
        <v>204</v>
      </c>
      <c r="F788" s="87" t="s">
        <v>195</v>
      </c>
      <c r="G788" s="88">
        <v>2768</v>
      </c>
      <c r="H788" s="88"/>
      <c r="I788" s="88"/>
      <c r="J788" s="42"/>
      <c r="K788" s="35"/>
      <c r="L788" s="35"/>
      <c r="M788" s="36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  <c r="AA788" s="35"/>
      <c r="AB788" s="35"/>
      <c r="AC788" s="35"/>
    </row>
    <row r="789" spans="1:29" ht="52.5" customHeight="1">
      <c r="A789" s="125" t="s">
        <v>26</v>
      </c>
      <c r="B789" s="103">
        <v>811</v>
      </c>
      <c r="C789" s="87" t="s">
        <v>790</v>
      </c>
      <c r="D789" s="87" t="s">
        <v>487</v>
      </c>
      <c r="E789" s="105" t="s">
        <v>27</v>
      </c>
      <c r="F789" s="105"/>
      <c r="G789" s="88">
        <f aca="true" t="shared" si="80" ref="G789:I790">SUM(G790)</f>
        <v>1629</v>
      </c>
      <c r="H789" s="88">
        <f t="shared" si="80"/>
        <v>1629</v>
      </c>
      <c r="I789" s="88">
        <f t="shared" si="80"/>
        <v>1629</v>
      </c>
      <c r="J789" s="42"/>
      <c r="K789" s="35"/>
      <c r="L789" s="35"/>
      <c r="M789" s="36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  <c r="AA789" s="35"/>
      <c r="AB789" s="35"/>
      <c r="AC789" s="35"/>
    </row>
    <row r="790" spans="1:29" ht="36" customHeight="1">
      <c r="A790" s="140" t="s">
        <v>178</v>
      </c>
      <c r="B790" s="103">
        <v>811</v>
      </c>
      <c r="C790" s="87" t="s">
        <v>790</v>
      </c>
      <c r="D790" s="87" t="s">
        <v>487</v>
      </c>
      <c r="E790" s="87" t="s">
        <v>177</v>
      </c>
      <c r="F790" s="87"/>
      <c r="G790" s="88">
        <f t="shared" si="80"/>
        <v>1629</v>
      </c>
      <c r="H790" s="88">
        <f t="shared" si="80"/>
        <v>1629</v>
      </c>
      <c r="I790" s="88">
        <f t="shared" si="80"/>
        <v>1629</v>
      </c>
      <c r="J790" s="42"/>
      <c r="K790" s="35"/>
      <c r="L790" s="35"/>
      <c r="M790" s="36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  <c r="AC790" s="35"/>
    </row>
    <row r="791" spans="1:29" ht="19.5" customHeight="1">
      <c r="A791" s="124" t="s">
        <v>346</v>
      </c>
      <c r="B791" s="103">
        <v>811</v>
      </c>
      <c r="C791" s="87" t="s">
        <v>790</v>
      </c>
      <c r="D791" s="87" t="s">
        <v>487</v>
      </c>
      <c r="E791" s="87" t="s">
        <v>177</v>
      </c>
      <c r="F791" s="87" t="s">
        <v>197</v>
      </c>
      <c r="G791" s="88">
        <v>1629</v>
      </c>
      <c r="H791" s="88">
        <v>1629</v>
      </c>
      <c r="I791" s="88">
        <v>1629</v>
      </c>
      <c r="J791" s="42"/>
      <c r="K791" s="35"/>
      <c r="L791" s="35"/>
      <c r="M791" s="36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  <c r="AA791" s="35"/>
      <c r="AB791" s="35"/>
      <c r="AC791" s="35"/>
    </row>
    <row r="792" spans="1:29" ht="38.25" customHeight="1">
      <c r="A792" s="125" t="s">
        <v>96</v>
      </c>
      <c r="B792" s="103">
        <v>811</v>
      </c>
      <c r="C792" s="87" t="s">
        <v>790</v>
      </c>
      <c r="D792" s="87" t="s">
        <v>487</v>
      </c>
      <c r="E792" s="87" t="s">
        <v>179</v>
      </c>
      <c r="F792" s="87"/>
      <c r="G792" s="88">
        <f aca="true" t="shared" si="81" ref="G792:I793">SUM(G793)</f>
        <v>6778.4</v>
      </c>
      <c r="H792" s="88">
        <f t="shared" si="81"/>
        <v>3254.9</v>
      </c>
      <c r="I792" s="88">
        <f t="shared" si="81"/>
        <v>2698</v>
      </c>
      <c r="J792" s="42"/>
      <c r="K792" s="35"/>
      <c r="L792" s="35"/>
      <c r="M792" s="36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  <c r="AA792" s="35"/>
      <c r="AB792" s="35"/>
      <c r="AC792" s="35"/>
    </row>
    <row r="793" spans="1:29" ht="36" customHeight="1">
      <c r="A793" s="132" t="s">
        <v>180</v>
      </c>
      <c r="B793" s="103">
        <v>811</v>
      </c>
      <c r="C793" s="87" t="s">
        <v>790</v>
      </c>
      <c r="D793" s="87" t="s">
        <v>487</v>
      </c>
      <c r="E793" s="87" t="s">
        <v>181</v>
      </c>
      <c r="F793" s="87"/>
      <c r="G793" s="88">
        <f t="shared" si="81"/>
        <v>6778.4</v>
      </c>
      <c r="H793" s="88">
        <f t="shared" si="81"/>
        <v>3254.9</v>
      </c>
      <c r="I793" s="88">
        <f t="shared" si="81"/>
        <v>2698</v>
      </c>
      <c r="J793" s="42"/>
      <c r="K793" s="35"/>
      <c r="L793" s="35"/>
      <c r="M793" s="36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  <c r="AA793" s="35"/>
      <c r="AB793" s="35"/>
      <c r="AC793" s="35"/>
    </row>
    <row r="794" spans="1:29" ht="18.75" customHeight="1">
      <c r="A794" s="124" t="s">
        <v>346</v>
      </c>
      <c r="B794" s="103">
        <v>811</v>
      </c>
      <c r="C794" s="87" t="s">
        <v>790</v>
      </c>
      <c r="D794" s="87" t="s">
        <v>487</v>
      </c>
      <c r="E794" s="87" t="s">
        <v>181</v>
      </c>
      <c r="F794" s="87" t="s">
        <v>197</v>
      </c>
      <c r="G794" s="88">
        <v>6778.4</v>
      </c>
      <c r="H794" s="88">
        <v>3254.9</v>
      </c>
      <c r="I794" s="88">
        <v>2698</v>
      </c>
      <c r="J794" s="42"/>
      <c r="K794" s="35"/>
      <c r="L794" s="35"/>
      <c r="M794" s="36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  <c r="AC794" s="35"/>
    </row>
    <row r="795" spans="1:29" ht="19.5" customHeight="1">
      <c r="A795" s="140" t="s">
        <v>5</v>
      </c>
      <c r="B795" s="103">
        <v>811</v>
      </c>
      <c r="C795" s="87" t="s">
        <v>790</v>
      </c>
      <c r="D795" s="87" t="s">
        <v>487</v>
      </c>
      <c r="E795" s="87" t="s">
        <v>342</v>
      </c>
      <c r="F795" s="87"/>
      <c r="G795" s="88">
        <f aca="true" t="shared" si="82" ref="G795:I796">G796</f>
        <v>2775</v>
      </c>
      <c r="H795" s="88">
        <f t="shared" si="82"/>
        <v>435</v>
      </c>
      <c r="I795" s="88">
        <f t="shared" si="82"/>
        <v>400</v>
      </c>
      <c r="J795" s="42"/>
      <c r="K795" s="35"/>
      <c r="L795" s="35"/>
      <c r="M795" s="36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C795" s="35"/>
    </row>
    <row r="796" spans="1:29" s="48" customFormat="1" ht="21.75" customHeight="1">
      <c r="A796" s="125" t="s">
        <v>6</v>
      </c>
      <c r="B796" s="103">
        <v>811</v>
      </c>
      <c r="C796" s="87" t="s">
        <v>790</v>
      </c>
      <c r="D796" s="87" t="s">
        <v>487</v>
      </c>
      <c r="E796" s="87" t="s">
        <v>399</v>
      </c>
      <c r="F796" s="87"/>
      <c r="G796" s="88">
        <f t="shared" si="82"/>
        <v>2775</v>
      </c>
      <c r="H796" s="88">
        <f t="shared" si="82"/>
        <v>435</v>
      </c>
      <c r="I796" s="88">
        <f t="shared" si="82"/>
        <v>400</v>
      </c>
      <c r="J796" s="42"/>
      <c r="K796" s="35"/>
      <c r="L796" s="35"/>
      <c r="M796" s="36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  <c r="AC796" s="35"/>
    </row>
    <row r="797" spans="1:29" s="49" customFormat="1" ht="18.75" customHeight="1">
      <c r="A797" s="124" t="s">
        <v>346</v>
      </c>
      <c r="B797" s="103">
        <v>811</v>
      </c>
      <c r="C797" s="87" t="s">
        <v>790</v>
      </c>
      <c r="D797" s="87" t="s">
        <v>487</v>
      </c>
      <c r="E797" s="87" t="s">
        <v>399</v>
      </c>
      <c r="F797" s="87" t="s">
        <v>197</v>
      </c>
      <c r="G797" s="88">
        <f>400+35+2340</f>
        <v>2775</v>
      </c>
      <c r="H797" s="88">
        <f>400+35</f>
        <v>435</v>
      </c>
      <c r="I797" s="88">
        <f>400</f>
        <v>400</v>
      </c>
      <c r="J797" s="42"/>
      <c r="K797" s="35"/>
      <c r="L797" s="35"/>
      <c r="M797" s="36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  <c r="AA797" s="35"/>
      <c r="AB797" s="35"/>
      <c r="AC797" s="35"/>
    </row>
    <row r="798" spans="1:29" ht="18.75" customHeight="1">
      <c r="A798" s="124" t="s">
        <v>418</v>
      </c>
      <c r="B798" s="103">
        <v>811</v>
      </c>
      <c r="C798" s="87" t="s">
        <v>793</v>
      </c>
      <c r="D798" s="87"/>
      <c r="E798" s="87"/>
      <c r="F798" s="87"/>
      <c r="G798" s="88">
        <f>SUM(G808,G799)</f>
        <v>25057.4</v>
      </c>
      <c r="H798" s="88">
        <f>SUM(H808,H799)</f>
        <v>25102.4</v>
      </c>
      <c r="I798" s="88">
        <f>SUM(I808,I799)</f>
        <v>25144.800000000003</v>
      </c>
      <c r="J798" s="42"/>
      <c r="K798" s="35"/>
      <c r="L798" s="35"/>
      <c r="M798" s="36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  <c r="AC798" s="35"/>
    </row>
    <row r="799" spans="1:29" ht="18.75" customHeight="1" hidden="1">
      <c r="A799" s="124" t="s">
        <v>756</v>
      </c>
      <c r="B799" s="103">
        <v>811</v>
      </c>
      <c r="C799" s="87" t="s">
        <v>793</v>
      </c>
      <c r="D799" s="87" t="s">
        <v>790</v>
      </c>
      <c r="E799" s="87"/>
      <c r="F799" s="87"/>
      <c r="G799" s="88">
        <f>G800+G805</f>
        <v>0</v>
      </c>
      <c r="H799" s="88">
        <f>H800+H805</f>
        <v>0</v>
      </c>
      <c r="I799" s="88">
        <f>I800+I805</f>
        <v>0</v>
      </c>
      <c r="J799" s="42"/>
      <c r="K799" s="35"/>
      <c r="L799" s="35"/>
      <c r="M799" s="36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  <c r="AA799" s="35"/>
      <c r="AB799" s="35"/>
      <c r="AC799" s="35"/>
    </row>
    <row r="800" spans="1:29" ht="18.75" customHeight="1" hidden="1">
      <c r="A800" s="124" t="s">
        <v>758</v>
      </c>
      <c r="B800" s="103">
        <v>811</v>
      </c>
      <c r="C800" s="87" t="s">
        <v>793</v>
      </c>
      <c r="D800" s="87" t="s">
        <v>790</v>
      </c>
      <c r="E800" s="87" t="s">
        <v>757</v>
      </c>
      <c r="F800" s="87"/>
      <c r="G800" s="88">
        <f>G801+G803</f>
        <v>0</v>
      </c>
      <c r="H800" s="88">
        <f>H801+H803</f>
        <v>0</v>
      </c>
      <c r="I800" s="88">
        <f>I801+I803</f>
        <v>0</v>
      </c>
      <c r="J800" s="42"/>
      <c r="K800" s="35"/>
      <c r="L800" s="35"/>
      <c r="M800" s="36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  <c r="AA800" s="35"/>
      <c r="AB800" s="35"/>
      <c r="AC800" s="35"/>
    </row>
    <row r="801" spans="1:29" ht="18.75" customHeight="1" hidden="1">
      <c r="A801" s="124" t="s">
        <v>760</v>
      </c>
      <c r="B801" s="103">
        <v>811</v>
      </c>
      <c r="C801" s="87" t="s">
        <v>793</v>
      </c>
      <c r="D801" s="87" t="s">
        <v>790</v>
      </c>
      <c r="E801" s="87" t="s">
        <v>759</v>
      </c>
      <c r="F801" s="87"/>
      <c r="G801" s="88">
        <f>G802</f>
        <v>0</v>
      </c>
      <c r="H801" s="88">
        <f>H802</f>
        <v>0</v>
      </c>
      <c r="I801" s="88">
        <f>I802</f>
        <v>0</v>
      </c>
      <c r="J801" s="42"/>
      <c r="K801" s="35"/>
      <c r="L801" s="35"/>
      <c r="M801" s="36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  <c r="AA801" s="35"/>
      <c r="AB801" s="35"/>
      <c r="AC801" s="35"/>
    </row>
    <row r="802" spans="1:29" ht="18.75" customHeight="1" hidden="1">
      <c r="A802" s="125" t="s">
        <v>836</v>
      </c>
      <c r="B802" s="103">
        <v>811</v>
      </c>
      <c r="C802" s="87" t="s">
        <v>793</v>
      </c>
      <c r="D802" s="87" t="s">
        <v>790</v>
      </c>
      <c r="E802" s="87" t="s">
        <v>759</v>
      </c>
      <c r="F802" s="87" t="s">
        <v>545</v>
      </c>
      <c r="G802" s="88"/>
      <c r="H802" s="88"/>
      <c r="I802" s="88"/>
      <c r="J802" s="42"/>
      <c r="K802" s="35"/>
      <c r="L802" s="35"/>
      <c r="M802" s="36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  <c r="AC802" s="35"/>
    </row>
    <row r="803" spans="1:29" ht="35.25" customHeight="1" hidden="1">
      <c r="A803" s="125" t="s">
        <v>568</v>
      </c>
      <c r="B803" s="103">
        <v>811</v>
      </c>
      <c r="C803" s="87" t="s">
        <v>793</v>
      </c>
      <c r="D803" s="87" t="s">
        <v>790</v>
      </c>
      <c r="E803" s="87" t="s">
        <v>567</v>
      </c>
      <c r="F803" s="87"/>
      <c r="G803" s="88">
        <f>SUM(G804)</f>
        <v>0</v>
      </c>
      <c r="H803" s="88">
        <f>SUM(H804)</f>
        <v>0</v>
      </c>
      <c r="I803" s="88">
        <f>SUM(I804)</f>
        <v>0</v>
      </c>
      <c r="J803" s="42"/>
      <c r="K803" s="35"/>
      <c r="L803" s="35"/>
      <c r="M803" s="36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  <c r="AC803" s="35"/>
    </row>
    <row r="804" spans="1:29" ht="20.25" customHeight="1" hidden="1">
      <c r="A804" s="125" t="s">
        <v>836</v>
      </c>
      <c r="B804" s="103">
        <v>811</v>
      </c>
      <c r="C804" s="87" t="s">
        <v>793</v>
      </c>
      <c r="D804" s="87" t="s">
        <v>790</v>
      </c>
      <c r="E804" s="87" t="s">
        <v>567</v>
      </c>
      <c r="F804" s="87" t="s">
        <v>545</v>
      </c>
      <c r="G804" s="88"/>
      <c r="H804" s="88"/>
      <c r="I804" s="88"/>
      <c r="J804" s="42"/>
      <c r="K804" s="35"/>
      <c r="L804" s="35"/>
      <c r="M804" s="36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5"/>
    </row>
    <row r="805" spans="1:29" ht="20.25" customHeight="1" hidden="1">
      <c r="A805" s="125" t="s">
        <v>277</v>
      </c>
      <c r="B805" s="103">
        <v>811</v>
      </c>
      <c r="C805" s="87" t="s">
        <v>793</v>
      </c>
      <c r="D805" s="87" t="s">
        <v>790</v>
      </c>
      <c r="E805" s="87" t="s">
        <v>381</v>
      </c>
      <c r="F805" s="87"/>
      <c r="G805" s="88">
        <f aca="true" t="shared" si="83" ref="G805:I806">SUM(G806)</f>
        <v>0</v>
      </c>
      <c r="H805" s="88">
        <f t="shared" si="83"/>
        <v>0</v>
      </c>
      <c r="I805" s="88">
        <f t="shared" si="83"/>
        <v>0</v>
      </c>
      <c r="J805" s="42"/>
      <c r="K805" s="35"/>
      <c r="L805" s="35"/>
      <c r="M805" s="36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  <c r="AC805" s="35"/>
    </row>
    <row r="806" spans="1:29" ht="39" customHeight="1" hidden="1">
      <c r="A806" s="125" t="s">
        <v>569</v>
      </c>
      <c r="B806" s="103">
        <v>811</v>
      </c>
      <c r="C806" s="87" t="s">
        <v>793</v>
      </c>
      <c r="D806" s="87" t="s">
        <v>790</v>
      </c>
      <c r="E806" s="87" t="s">
        <v>572</v>
      </c>
      <c r="F806" s="87"/>
      <c r="G806" s="88">
        <f t="shared" si="83"/>
        <v>0</v>
      </c>
      <c r="H806" s="88">
        <f t="shared" si="83"/>
        <v>0</v>
      </c>
      <c r="I806" s="88">
        <f t="shared" si="83"/>
        <v>0</v>
      </c>
      <c r="J806" s="42"/>
      <c r="K806" s="35"/>
      <c r="L806" s="35"/>
      <c r="M806" s="36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35"/>
    </row>
    <row r="807" spans="1:29" ht="20.25" customHeight="1" hidden="1">
      <c r="A807" s="125" t="s">
        <v>836</v>
      </c>
      <c r="B807" s="103">
        <v>811</v>
      </c>
      <c r="C807" s="87" t="s">
        <v>793</v>
      </c>
      <c r="D807" s="87" t="s">
        <v>790</v>
      </c>
      <c r="E807" s="87" t="s">
        <v>572</v>
      </c>
      <c r="F807" s="87" t="s">
        <v>545</v>
      </c>
      <c r="G807" s="88"/>
      <c r="H807" s="88"/>
      <c r="I807" s="88"/>
      <c r="J807" s="42"/>
      <c r="K807" s="35"/>
      <c r="L807" s="35"/>
      <c r="M807" s="36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  <c r="AC807" s="35"/>
    </row>
    <row r="808" spans="1:29" ht="20.25" customHeight="1">
      <c r="A808" s="131" t="s">
        <v>44</v>
      </c>
      <c r="B808" s="103">
        <v>811</v>
      </c>
      <c r="C808" s="87" t="s">
        <v>793</v>
      </c>
      <c r="D808" s="87" t="s">
        <v>509</v>
      </c>
      <c r="E808" s="87"/>
      <c r="F808" s="87"/>
      <c r="G808" s="88">
        <f>SUM(G809,G812)</f>
        <v>25057.4</v>
      </c>
      <c r="H808" s="88">
        <f>SUM(H809,H812)</f>
        <v>25102.4</v>
      </c>
      <c r="I808" s="88">
        <f>SUM(I809,I812)</f>
        <v>25144.800000000003</v>
      </c>
      <c r="J808" s="42"/>
      <c r="K808" s="35"/>
      <c r="L808" s="35"/>
      <c r="M808" s="36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  <c r="AC808" s="35"/>
    </row>
    <row r="809" spans="1:29" ht="51" customHeight="1">
      <c r="A809" s="125" t="s">
        <v>26</v>
      </c>
      <c r="B809" s="103">
        <v>811</v>
      </c>
      <c r="C809" s="87" t="s">
        <v>793</v>
      </c>
      <c r="D809" s="87" t="s">
        <v>509</v>
      </c>
      <c r="E809" s="87" t="s">
        <v>27</v>
      </c>
      <c r="F809" s="87"/>
      <c r="G809" s="88">
        <f aca="true" t="shared" si="84" ref="G809:I810">SUM(G810)</f>
        <v>24736.7</v>
      </c>
      <c r="H809" s="88">
        <f t="shared" si="84"/>
        <v>24765.600000000002</v>
      </c>
      <c r="I809" s="88">
        <f t="shared" si="84"/>
        <v>24792.9</v>
      </c>
      <c r="J809" s="42"/>
      <c r="K809" s="35"/>
      <c r="L809" s="35"/>
      <c r="M809" s="36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  <c r="AA809" s="35"/>
      <c r="AB809" s="35"/>
      <c r="AC809" s="35"/>
    </row>
    <row r="810" spans="1:29" ht="17.25" customHeight="1">
      <c r="A810" s="125" t="s">
        <v>31</v>
      </c>
      <c r="B810" s="103">
        <v>811</v>
      </c>
      <c r="C810" s="87" t="s">
        <v>793</v>
      </c>
      <c r="D810" s="87" t="s">
        <v>509</v>
      </c>
      <c r="E810" s="87" t="s">
        <v>29</v>
      </c>
      <c r="F810" s="87"/>
      <c r="G810" s="88">
        <f t="shared" si="84"/>
        <v>24736.7</v>
      </c>
      <c r="H810" s="88">
        <f t="shared" si="84"/>
        <v>24765.600000000002</v>
      </c>
      <c r="I810" s="88">
        <f t="shared" si="84"/>
        <v>24792.9</v>
      </c>
      <c r="J810" s="42"/>
      <c r="K810" s="35"/>
      <c r="L810" s="35"/>
      <c r="M810" s="36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  <c r="AC810" s="35"/>
    </row>
    <row r="811" spans="1:29" ht="19.5" customHeight="1">
      <c r="A811" s="124" t="s">
        <v>346</v>
      </c>
      <c r="B811" s="103">
        <v>811</v>
      </c>
      <c r="C811" s="87" t="s">
        <v>793</v>
      </c>
      <c r="D811" s="87" t="s">
        <v>509</v>
      </c>
      <c r="E811" s="87" t="s">
        <v>29</v>
      </c>
      <c r="F811" s="87" t="s">
        <v>197</v>
      </c>
      <c r="G811" s="88">
        <f>23059.8+1676.9</f>
        <v>24736.7</v>
      </c>
      <c r="H811" s="88">
        <f>23088.7+1676.9</f>
        <v>24765.600000000002</v>
      </c>
      <c r="I811" s="88">
        <f>23116+1676.9</f>
        <v>24792.9</v>
      </c>
      <c r="J811" s="42"/>
      <c r="K811" s="35"/>
      <c r="L811" s="35"/>
      <c r="M811" s="36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  <c r="AA811" s="35"/>
      <c r="AB811" s="35"/>
      <c r="AC811" s="35"/>
    </row>
    <row r="812" spans="1:29" ht="20.25" customHeight="1">
      <c r="A812" s="131" t="s">
        <v>230</v>
      </c>
      <c r="B812" s="103">
        <v>811</v>
      </c>
      <c r="C812" s="87" t="s">
        <v>793</v>
      </c>
      <c r="D812" s="87" t="s">
        <v>509</v>
      </c>
      <c r="E812" s="87" t="s">
        <v>420</v>
      </c>
      <c r="F812" s="87"/>
      <c r="G812" s="88">
        <f>SUM(G813,G815)</f>
        <v>320.7</v>
      </c>
      <c r="H812" s="88">
        <f>SUM(H813,H815)</f>
        <v>336.8</v>
      </c>
      <c r="I812" s="88">
        <f>SUM(I813,I815)</f>
        <v>351.9</v>
      </c>
      <c r="J812" s="42"/>
      <c r="K812" s="35"/>
      <c r="L812" s="35"/>
      <c r="M812" s="36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  <c r="AA812" s="35"/>
      <c r="AB812" s="35"/>
      <c r="AC812" s="35"/>
    </row>
    <row r="813" spans="1:29" ht="20.25" customHeight="1">
      <c r="A813" s="144" t="s">
        <v>434</v>
      </c>
      <c r="B813" s="103">
        <v>811</v>
      </c>
      <c r="C813" s="87" t="s">
        <v>793</v>
      </c>
      <c r="D813" s="87" t="s">
        <v>509</v>
      </c>
      <c r="E813" s="87" t="s">
        <v>435</v>
      </c>
      <c r="F813" s="87"/>
      <c r="G813" s="88">
        <f>SUM(G814)</f>
        <v>320.7</v>
      </c>
      <c r="H813" s="88">
        <f>SUM(H814)</f>
        <v>336.8</v>
      </c>
      <c r="I813" s="88">
        <f>SUM(I814)</f>
        <v>351.9</v>
      </c>
      <c r="J813" s="42"/>
      <c r="K813" s="35"/>
      <c r="L813" s="35"/>
      <c r="M813" s="36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  <c r="AA813" s="35"/>
      <c r="AB813" s="35"/>
      <c r="AC813" s="35"/>
    </row>
    <row r="814" spans="1:29" ht="19.5" customHeight="1">
      <c r="A814" s="124" t="s">
        <v>346</v>
      </c>
      <c r="B814" s="103">
        <v>811</v>
      </c>
      <c r="C814" s="87" t="s">
        <v>793</v>
      </c>
      <c r="D814" s="87" t="s">
        <v>509</v>
      </c>
      <c r="E814" s="87" t="s">
        <v>435</v>
      </c>
      <c r="F814" s="87" t="s">
        <v>197</v>
      </c>
      <c r="G814" s="88">
        <v>320.7</v>
      </c>
      <c r="H814" s="88">
        <v>336.8</v>
      </c>
      <c r="I814" s="88">
        <v>351.9</v>
      </c>
      <c r="J814" s="42"/>
      <c r="K814" s="35"/>
      <c r="L814" s="35"/>
      <c r="M814" s="36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5"/>
    </row>
    <row r="815" spans="1:29" ht="34.5" customHeight="1" hidden="1">
      <c r="A815" s="124" t="s">
        <v>275</v>
      </c>
      <c r="B815" s="103">
        <v>811</v>
      </c>
      <c r="C815" s="87" t="s">
        <v>793</v>
      </c>
      <c r="D815" s="87" t="s">
        <v>509</v>
      </c>
      <c r="E815" s="87" t="s">
        <v>260</v>
      </c>
      <c r="F815" s="87"/>
      <c r="G815" s="88">
        <f>SUM(G816)</f>
        <v>0</v>
      </c>
      <c r="H815" s="88">
        <f>SUM(H816)</f>
        <v>0</v>
      </c>
      <c r="I815" s="88">
        <f>SUM(I816)</f>
        <v>0</v>
      </c>
      <c r="J815" s="42"/>
      <c r="K815" s="35"/>
      <c r="L815" s="35"/>
      <c r="M815" s="36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C815" s="35"/>
    </row>
    <row r="816" spans="1:29" ht="18.75" customHeight="1" hidden="1">
      <c r="A816" s="132" t="s">
        <v>189</v>
      </c>
      <c r="B816" s="103">
        <v>811</v>
      </c>
      <c r="C816" s="87" t="s">
        <v>793</v>
      </c>
      <c r="D816" s="87" t="s">
        <v>509</v>
      </c>
      <c r="E816" s="87" t="s">
        <v>260</v>
      </c>
      <c r="F816" s="87" t="s">
        <v>827</v>
      </c>
      <c r="G816" s="88"/>
      <c r="H816" s="88"/>
      <c r="I816" s="88"/>
      <c r="J816" s="42"/>
      <c r="K816" s="35"/>
      <c r="L816" s="35"/>
      <c r="M816" s="36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5"/>
    </row>
    <row r="817" spans="1:29" ht="33" customHeight="1">
      <c r="A817" s="133" t="s">
        <v>92</v>
      </c>
      <c r="B817" s="103">
        <v>840</v>
      </c>
      <c r="C817" s="87"/>
      <c r="D817" s="87"/>
      <c r="E817" s="87"/>
      <c r="F817" s="87"/>
      <c r="G817" s="88">
        <f>SUM(G826)</f>
        <v>15767.199999999999</v>
      </c>
      <c r="H817" s="88">
        <f>SUM(H826)</f>
        <v>16189.699999999999</v>
      </c>
      <c r="I817" s="88">
        <f>SUM(I826)</f>
        <v>17023.600000000002</v>
      </c>
      <c r="J817" s="42"/>
      <c r="K817" s="35"/>
      <c r="L817" s="35"/>
      <c r="M817" s="36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  <c r="AC817" s="35"/>
    </row>
    <row r="818" spans="1:29" ht="18" customHeight="1" hidden="1">
      <c r="A818" s="124" t="s">
        <v>418</v>
      </c>
      <c r="B818" s="103">
        <v>840</v>
      </c>
      <c r="C818" s="87" t="s">
        <v>793</v>
      </c>
      <c r="D818" s="87"/>
      <c r="E818" s="87"/>
      <c r="F818" s="87"/>
      <c r="G818" s="88">
        <f>G819</f>
        <v>0</v>
      </c>
      <c r="H818" s="88">
        <f>H819</f>
        <v>0</v>
      </c>
      <c r="I818" s="88">
        <f>I819</f>
        <v>0</v>
      </c>
      <c r="J818" s="42"/>
      <c r="K818" s="35"/>
      <c r="L818" s="35"/>
      <c r="M818" s="36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  <c r="AA818" s="35"/>
      <c r="AB818" s="35"/>
      <c r="AC818" s="35"/>
    </row>
    <row r="819" spans="1:29" ht="18" customHeight="1" hidden="1">
      <c r="A819" s="124" t="s">
        <v>756</v>
      </c>
      <c r="B819" s="103">
        <v>840</v>
      </c>
      <c r="C819" s="87" t="s">
        <v>793</v>
      </c>
      <c r="D819" s="87" t="s">
        <v>790</v>
      </c>
      <c r="E819" s="106"/>
      <c r="F819" s="106"/>
      <c r="G819" s="88">
        <f>G820+G823</f>
        <v>0</v>
      </c>
      <c r="H819" s="88">
        <f>H820+H823</f>
        <v>0</v>
      </c>
      <c r="I819" s="88">
        <f>I820+I823</f>
        <v>0</v>
      </c>
      <c r="J819" s="42"/>
      <c r="K819" s="35"/>
      <c r="L819" s="35"/>
      <c r="M819" s="36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  <c r="AC819" s="35"/>
    </row>
    <row r="820" spans="1:29" ht="18" customHeight="1" hidden="1">
      <c r="A820" s="124" t="s">
        <v>758</v>
      </c>
      <c r="B820" s="103">
        <v>840</v>
      </c>
      <c r="C820" s="87" t="s">
        <v>793</v>
      </c>
      <c r="D820" s="87" t="s">
        <v>790</v>
      </c>
      <c r="E820" s="87" t="s">
        <v>757</v>
      </c>
      <c r="F820" s="106"/>
      <c r="G820" s="88">
        <f aca="true" t="shared" si="85" ref="G820:I821">G821</f>
        <v>0</v>
      </c>
      <c r="H820" s="88">
        <f t="shared" si="85"/>
        <v>0</v>
      </c>
      <c r="I820" s="88">
        <f t="shared" si="85"/>
        <v>0</v>
      </c>
      <c r="J820" s="42"/>
      <c r="K820" s="35"/>
      <c r="L820" s="35"/>
      <c r="M820" s="36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  <c r="AA820" s="35"/>
      <c r="AB820" s="35"/>
      <c r="AC820" s="35"/>
    </row>
    <row r="821" spans="1:29" ht="36.75" customHeight="1" hidden="1">
      <c r="A821" s="125" t="s">
        <v>568</v>
      </c>
      <c r="B821" s="103">
        <v>840</v>
      </c>
      <c r="C821" s="87" t="s">
        <v>793</v>
      </c>
      <c r="D821" s="87" t="s">
        <v>790</v>
      </c>
      <c r="E821" s="87" t="s">
        <v>567</v>
      </c>
      <c r="F821" s="87"/>
      <c r="G821" s="88">
        <f t="shared" si="85"/>
        <v>0</v>
      </c>
      <c r="H821" s="88">
        <f t="shared" si="85"/>
        <v>0</v>
      </c>
      <c r="I821" s="88">
        <f t="shared" si="85"/>
        <v>0</v>
      </c>
      <c r="J821" s="42"/>
      <c r="K821" s="35"/>
      <c r="L821" s="35"/>
      <c r="M821" s="36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  <c r="AA821" s="35"/>
      <c r="AB821" s="35"/>
      <c r="AC821" s="35"/>
    </row>
    <row r="822" spans="1:29" ht="18" customHeight="1" hidden="1">
      <c r="A822" s="125" t="s">
        <v>836</v>
      </c>
      <c r="B822" s="103">
        <v>840</v>
      </c>
      <c r="C822" s="87" t="s">
        <v>793</v>
      </c>
      <c r="D822" s="87" t="s">
        <v>790</v>
      </c>
      <c r="E822" s="87" t="s">
        <v>567</v>
      </c>
      <c r="F822" s="87" t="s">
        <v>545</v>
      </c>
      <c r="G822" s="88"/>
      <c r="H822" s="88"/>
      <c r="I822" s="88"/>
      <c r="J822" s="42"/>
      <c r="K822" s="35"/>
      <c r="L822" s="35"/>
      <c r="M822" s="36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  <c r="AA822" s="35"/>
      <c r="AB822" s="35"/>
      <c r="AC822" s="35"/>
    </row>
    <row r="823" spans="1:29" ht="18" customHeight="1" hidden="1">
      <c r="A823" s="125" t="s">
        <v>277</v>
      </c>
      <c r="B823" s="103">
        <v>840</v>
      </c>
      <c r="C823" s="87" t="s">
        <v>793</v>
      </c>
      <c r="D823" s="87" t="s">
        <v>790</v>
      </c>
      <c r="E823" s="87" t="s">
        <v>381</v>
      </c>
      <c r="F823" s="87"/>
      <c r="G823" s="88">
        <f>G824</f>
        <v>0</v>
      </c>
      <c r="H823" s="88">
        <f>H824</f>
        <v>0</v>
      </c>
      <c r="I823" s="88">
        <f>I824</f>
        <v>0</v>
      </c>
      <c r="J823" s="42"/>
      <c r="K823" s="35"/>
      <c r="L823" s="35"/>
      <c r="M823" s="36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  <c r="AA823" s="35"/>
      <c r="AB823" s="35"/>
      <c r="AC823" s="35"/>
    </row>
    <row r="824" spans="1:29" ht="34.5" customHeight="1" hidden="1">
      <c r="A824" s="125" t="s">
        <v>569</v>
      </c>
      <c r="B824" s="103">
        <v>840</v>
      </c>
      <c r="C824" s="87" t="s">
        <v>793</v>
      </c>
      <c r="D824" s="87" t="s">
        <v>790</v>
      </c>
      <c r="E824" s="87" t="s">
        <v>572</v>
      </c>
      <c r="F824" s="87"/>
      <c r="G824" s="88">
        <f>SUM(G825)</f>
        <v>0</v>
      </c>
      <c r="H824" s="88">
        <f>SUM(H825)</f>
        <v>0</v>
      </c>
      <c r="I824" s="88">
        <f>SUM(I825)</f>
        <v>0</v>
      </c>
      <c r="J824" s="42"/>
      <c r="K824" s="35"/>
      <c r="L824" s="35"/>
      <c r="M824" s="36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  <c r="AC824" s="35"/>
    </row>
    <row r="825" spans="1:29" ht="18" customHeight="1" hidden="1">
      <c r="A825" s="125" t="s">
        <v>836</v>
      </c>
      <c r="B825" s="103">
        <v>840</v>
      </c>
      <c r="C825" s="87" t="s">
        <v>793</v>
      </c>
      <c r="D825" s="87" t="s">
        <v>790</v>
      </c>
      <c r="E825" s="87" t="s">
        <v>572</v>
      </c>
      <c r="F825" s="87" t="s">
        <v>545</v>
      </c>
      <c r="G825" s="88"/>
      <c r="H825" s="88"/>
      <c r="I825" s="88"/>
      <c r="J825" s="42"/>
      <c r="K825" s="35"/>
      <c r="L825" s="35"/>
      <c r="M825" s="36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  <c r="AC825" s="35"/>
    </row>
    <row r="826" spans="1:29" ht="18.75" customHeight="1">
      <c r="A826" s="133" t="s">
        <v>184</v>
      </c>
      <c r="B826" s="103">
        <v>840</v>
      </c>
      <c r="C826" s="87" t="s">
        <v>794</v>
      </c>
      <c r="D826" s="87"/>
      <c r="E826" s="87"/>
      <c r="F826" s="87"/>
      <c r="G826" s="88">
        <f>SUM(G831,G827)</f>
        <v>15767.199999999999</v>
      </c>
      <c r="H826" s="88">
        <f>SUM(H831,H827)</f>
        <v>16189.699999999999</v>
      </c>
      <c r="I826" s="88">
        <f>SUM(I831,I827)</f>
        <v>17023.600000000002</v>
      </c>
      <c r="J826" s="42"/>
      <c r="K826" s="35"/>
      <c r="L826" s="35"/>
      <c r="M826" s="36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  <c r="AC826" s="35"/>
    </row>
    <row r="827" spans="1:29" ht="18.75" customHeight="1">
      <c r="A827" s="133" t="s">
        <v>173</v>
      </c>
      <c r="B827" s="103">
        <v>840</v>
      </c>
      <c r="C827" s="87" t="s">
        <v>794</v>
      </c>
      <c r="D827" s="87" t="s">
        <v>792</v>
      </c>
      <c r="E827" s="87"/>
      <c r="F827" s="87"/>
      <c r="G827" s="88">
        <f aca="true" t="shared" si="86" ref="G827:I829">G828</f>
        <v>2018.4</v>
      </c>
      <c r="H827" s="88">
        <f t="shared" si="86"/>
        <v>2018.4</v>
      </c>
      <c r="I827" s="88">
        <f t="shared" si="86"/>
        <v>2018.4</v>
      </c>
      <c r="J827" s="42"/>
      <c r="K827" s="35"/>
      <c r="L827" s="35"/>
      <c r="M827" s="36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  <c r="AA827" s="35"/>
      <c r="AB827" s="35"/>
      <c r="AC827" s="35"/>
    </row>
    <row r="828" spans="1:29" ht="18.75" customHeight="1">
      <c r="A828" s="133" t="s">
        <v>14</v>
      </c>
      <c r="B828" s="103">
        <v>840</v>
      </c>
      <c r="C828" s="87" t="s">
        <v>794</v>
      </c>
      <c r="D828" s="87" t="s">
        <v>792</v>
      </c>
      <c r="E828" s="87" t="s">
        <v>15</v>
      </c>
      <c r="F828" s="87"/>
      <c r="G828" s="88">
        <f t="shared" si="86"/>
        <v>2018.4</v>
      </c>
      <c r="H828" s="88">
        <f t="shared" si="86"/>
        <v>2018.4</v>
      </c>
      <c r="I828" s="88">
        <f t="shared" si="86"/>
        <v>2018.4</v>
      </c>
      <c r="J828" s="42"/>
      <c r="K828" s="35"/>
      <c r="L828" s="35"/>
      <c r="M828" s="36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  <c r="AA828" s="35"/>
      <c r="AB828" s="35"/>
      <c r="AC828" s="35"/>
    </row>
    <row r="829" spans="1:29" ht="36.75" customHeight="1">
      <c r="A829" s="133" t="s">
        <v>822</v>
      </c>
      <c r="B829" s="103">
        <v>840</v>
      </c>
      <c r="C829" s="87" t="s">
        <v>794</v>
      </c>
      <c r="D829" s="87" t="s">
        <v>792</v>
      </c>
      <c r="E829" s="87" t="s">
        <v>172</v>
      </c>
      <c r="F829" s="87"/>
      <c r="G829" s="88">
        <f t="shared" si="86"/>
        <v>2018.4</v>
      </c>
      <c r="H829" s="88">
        <f t="shared" si="86"/>
        <v>2018.4</v>
      </c>
      <c r="I829" s="88">
        <f t="shared" si="86"/>
        <v>2018.4</v>
      </c>
      <c r="J829" s="42"/>
      <c r="K829" s="35"/>
      <c r="L829" s="35"/>
      <c r="M829" s="36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  <c r="AA829" s="35"/>
      <c r="AB829" s="35"/>
      <c r="AC829" s="35"/>
    </row>
    <row r="830" spans="1:29" ht="18.75" customHeight="1">
      <c r="A830" s="128" t="s">
        <v>134</v>
      </c>
      <c r="B830" s="103">
        <v>840</v>
      </c>
      <c r="C830" s="87" t="s">
        <v>794</v>
      </c>
      <c r="D830" s="87" t="s">
        <v>792</v>
      </c>
      <c r="E830" s="87" t="s">
        <v>172</v>
      </c>
      <c r="F830" s="87" t="s">
        <v>195</v>
      </c>
      <c r="G830" s="88">
        <v>2018.4</v>
      </c>
      <c r="H830" s="88">
        <v>2018.4</v>
      </c>
      <c r="I830" s="88">
        <v>2018.4</v>
      </c>
      <c r="J830" s="42"/>
      <c r="K830" s="35"/>
      <c r="L830" s="35"/>
      <c r="M830" s="36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  <c r="AC830" s="35"/>
    </row>
    <row r="831" spans="1:29" ht="19.5" customHeight="1">
      <c r="A831" s="131" t="s">
        <v>114</v>
      </c>
      <c r="B831" s="103">
        <v>840</v>
      </c>
      <c r="C831" s="87" t="s">
        <v>794</v>
      </c>
      <c r="D831" s="87" t="s">
        <v>42</v>
      </c>
      <c r="E831" s="87"/>
      <c r="F831" s="87"/>
      <c r="G831" s="88">
        <f>SUM(G832,G835)</f>
        <v>13748.8</v>
      </c>
      <c r="H831" s="88">
        <f>SUM(H832,H835)</f>
        <v>14171.3</v>
      </c>
      <c r="I831" s="88">
        <f>SUM(I832,I835)</f>
        <v>15005.2</v>
      </c>
      <c r="J831" s="42"/>
      <c r="K831" s="35"/>
      <c r="L831" s="35"/>
      <c r="M831" s="36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  <c r="AA831" s="35"/>
      <c r="AB831" s="35"/>
      <c r="AC831" s="35"/>
    </row>
    <row r="832" spans="1:29" ht="54" customHeight="1">
      <c r="A832" s="125" t="s">
        <v>26</v>
      </c>
      <c r="B832" s="103">
        <v>840</v>
      </c>
      <c r="C832" s="87" t="s">
        <v>794</v>
      </c>
      <c r="D832" s="87" t="s">
        <v>42</v>
      </c>
      <c r="E832" s="87" t="s">
        <v>27</v>
      </c>
      <c r="F832" s="87"/>
      <c r="G832" s="88">
        <f aca="true" t="shared" si="87" ref="G832:I833">SUM(G833)</f>
        <v>8443.8</v>
      </c>
      <c r="H832" s="88">
        <f t="shared" si="87"/>
        <v>8431.3</v>
      </c>
      <c r="I832" s="88">
        <f t="shared" si="87"/>
        <v>8435.2</v>
      </c>
      <c r="J832" s="42"/>
      <c r="K832" s="35"/>
      <c r="L832" s="35"/>
      <c r="M832" s="36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  <c r="AC832" s="35"/>
    </row>
    <row r="833" spans="1:29" ht="18.75" customHeight="1">
      <c r="A833" s="125" t="s">
        <v>31</v>
      </c>
      <c r="B833" s="103">
        <v>840</v>
      </c>
      <c r="C833" s="87" t="s">
        <v>794</v>
      </c>
      <c r="D833" s="87" t="s">
        <v>42</v>
      </c>
      <c r="E833" s="87" t="s">
        <v>29</v>
      </c>
      <c r="F833" s="87"/>
      <c r="G833" s="88">
        <f t="shared" si="87"/>
        <v>8443.8</v>
      </c>
      <c r="H833" s="88">
        <f t="shared" si="87"/>
        <v>8431.3</v>
      </c>
      <c r="I833" s="88">
        <f t="shared" si="87"/>
        <v>8435.2</v>
      </c>
      <c r="J833" s="42"/>
      <c r="K833" s="35"/>
      <c r="L833" s="35"/>
      <c r="M833" s="36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  <c r="AC833" s="35"/>
    </row>
    <row r="834" spans="1:29" ht="19.5" customHeight="1">
      <c r="A834" s="124" t="s">
        <v>346</v>
      </c>
      <c r="B834" s="103">
        <v>840</v>
      </c>
      <c r="C834" s="87" t="s">
        <v>794</v>
      </c>
      <c r="D834" s="87" t="s">
        <v>42</v>
      </c>
      <c r="E834" s="87" t="s">
        <v>29</v>
      </c>
      <c r="F834" s="87" t="s">
        <v>197</v>
      </c>
      <c r="G834" s="88">
        <f>8243.3+200.5</f>
        <v>8443.8</v>
      </c>
      <c r="H834" s="88">
        <f>8230.8+200.5</f>
        <v>8431.3</v>
      </c>
      <c r="I834" s="88">
        <f>8234.7+200.5</f>
        <v>8435.2</v>
      </c>
      <c r="J834" s="42"/>
      <c r="K834" s="35"/>
      <c r="L834" s="35"/>
      <c r="M834" s="36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5"/>
    </row>
    <row r="835" spans="1:29" ht="19.5" customHeight="1">
      <c r="A835" s="140" t="s">
        <v>349</v>
      </c>
      <c r="B835" s="103">
        <v>840</v>
      </c>
      <c r="C835" s="87" t="s">
        <v>794</v>
      </c>
      <c r="D835" s="87" t="s">
        <v>42</v>
      </c>
      <c r="E835" s="87" t="s">
        <v>343</v>
      </c>
      <c r="F835" s="87"/>
      <c r="G835" s="88">
        <f>SUM(G837)</f>
        <v>5305</v>
      </c>
      <c r="H835" s="88">
        <f>SUM(H837)</f>
        <v>5740</v>
      </c>
      <c r="I835" s="88">
        <f>SUM(I837)</f>
        <v>6570</v>
      </c>
      <c r="J835" s="42"/>
      <c r="K835" s="35"/>
      <c r="L835" s="35"/>
      <c r="M835" s="36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C835" s="35"/>
    </row>
    <row r="836" spans="1:29" ht="19.5" customHeight="1">
      <c r="A836" s="140" t="s">
        <v>380</v>
      </c>
      <c r="B836" s="103">
        <v>840</v>
      </c>
      <c r="C836" s="87" t="s">
        <v>794</v>
      </c>
      <c r="D836" s="87" t="s">
        <v>42</v>
      </c>
      <c r="E836" s="87" t="s">
        <v>344</v>
      </c>
      <c r="F836" s="87"/>
      <c r="G836" s="88">
        <f>G837</f>
        <v>5305</v>
      </c>
      <c r="H836" s="88">
        <f>H837</f>
        <v>5740</v>
      </c>
      <c r="I836" s="88">
        <f>I837</f>
        <v>6570</v>
      </c>
      <c r="J836" s="42"/>
      <c r="K836" s="35"/>
      <c r="L836" s="35"/>
      <c r="M836" s="36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  <c r="AC836" s="35"/>
    </row>
    <row r="837" spans="1:29" ht="18" customHeight="1">
      <c r="A837" s="131" t="s">
        <v>779</v>
      </c>
      <c r="B837" s="103">
        <v>840</v>
      </c>
      <c r="C837" s="87" t="s">
        <v>794</v>
      </c>
      <c r="D837" s="87" t="s">
        <v>42</v>
      </c>
      <c r="E837" s="87" t="s">
        <v>350</v>
      </c>
      <c r="F837" s="87"/>
      <c r="G837" s="88">
        <f>SUM(G838)</f>
        <v>5305</v>
      </c>
      <c r="H837" s="88">
        <f>SUM(H838)</f>
        <v>5740</v>
      </c>
      <c r="I837" s="88">
        <f>SUM(I838)</f>
        <v>6570</v>
      </c>
      <c r="J837" s="42"/>
      <c r="K837" s="35"/>
      <c r="L837" s="35"/>
      <c r="M837" s="36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  <c r="AC837" s="35"/>
    </row>
    <row r="838" spans="1:29" ht="20.25" customHeight="1">
      <c r="A838" s="124" t="s">
        <v>504</v>
      </c>
      <c r="B838" s="103">
        <v>840</v>
      </c>
      <c r="C838" s="87" t="s">
        <v>794</v>
      </c>
      <c r="D838" s="87" t="s">
        <v>42</v>
      </c>
      <c r="E838" s="87" t="s">
        <v>350</v>
      </c>
      <c r="F838" s="87" t="s">
        <v>448</v>
      </c>
      <c r="G838" s="88">
        <v>5305</v>
      </c>
      <c r="H838" s="88">
        <v>5740</v>
      </c>
      <c r="I838" s="88">
        <v>6570</v>
      </c>
      <c r="J838" s="42"/>
      <c r="K838" s="35"/>
      <c r="L838" s="35"/>
      <c r="M838" s="36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C838" s="35"/>
    </row>
    <row r="839" spans="1:29" ht="20.25" customHeight="1" hidden="1">
      <c r="A839" s="131" t="s">
        <v>364</v>
      </c>
      <c r="B839" s="103">
        <v>840</v>
      </c>
      <c r="C839" s="87" t="s">
        <v>508</v>
      </c>
      <c r="D839" s="87"/>
      <c r="E839" s="87"/>
      <c r="F839" s="87"/>
      <c r="G839" s="88">
        <f>G840</f>
        <v>0</v>
      </c>
      <c r="H839" s="88">
        <f aca="true" t="shared" si="88" ref="H839:I842">H840</f>
        <v>0</v>
      </c>
      <c r="I839" s="88">
        <f t="shared" si="88"/>
        <v>0</v>
      </c>
      <c r="J839" s="42"/>
      <c r="K839" s="35"/>
      <c r="L839" s="35"/>
      <c r="M839" s="36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  <c r="AC839" s="35"/>
    </row>
    <row r="840" spans="1:29" ht="20.25" customHeight="1" hidden="1">
      <c r="A840" s="131" t="s">
        <v>231</v>
      </c>
      <c r="B840" s="103">
        <v>840</v>
      </c>
      <c r="C840" s="87" t="s">
        <v>508</v>
      </c>
      <c r="D840" s="87" t="s">
        <v>508</v>
      </c>
      <c r="E840" s="87"/>
      <c r="F840" s="87"/>
      <c r="G840" s="88">
        <f>G841</f>
        <v>0</v>
      </c>
      <c r="H840" s="88">
        <f t="shared" si="88"/>
        <v>0</v>
      </c>
      <c r="I840" s="88">
        <f t="shared" si="88"/>
        <v>0</v>
      </c>
      <c r="J840" s="42"/>
      <c r="K840" s="35"/>
      <c r="L840" s="35"/>
      <c r="M840" s="36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  <c r="AC840" s="35"/>
    </row>
    <row r="841" spans="1:29" ht="20.25" customHeight="1" hidden="1">
      <c r="A841" s="125" t="s">
        <v>209</v>
      </c>
      <c r="B841" s="103">
        <v>840</v>
      </c>
      <c r="C841" s="87" t="s">
        <v>508</v>
      </c>
      <c r="D841" s="87" t="s">
        <v>508</v>
      </c>
      <c r="E841" s="87" t="s">
        <v>473</v>
      </c>
      <c r="F841" s="87"/>
      <c r="G841" s="88">
        <f>G842</f>
        <v>0</v>
      </c>
      <c r="H841" s="88">
        <f t="shared" si="88"/>
        <v>0</v>
      </c>
      <c r="I841" s="88">
        <f t="shared" si="88"/>
        <v>0</v>
      </c>
      <c r="J841" s="42"/>
      <c r="K841" s="35"/>
      <c r="L841" s="35"/>
      <c r="M841" s="36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  <c r="AC841" s="35"/>
    </row>
    <row r="842" spans="1:29" ht="20.25" customHeight="1" hidden="1">
      <c r="A842" s="140" t="s">
        <v>301</v>
      </c>
      <c r="B842" s="103">
        <v>840</v>
      </c>
      <c r="C842" s="87" t="s">
        <v>508</v>
      </c>
      <c r="D842" s="87" t="s">
        <v>508</v>
      </c>
      <c r="E842" s="87" t="s">
        <v>516</v>
      </c>
      <c r="F842" s="87"/>
      <c r="G842" s="88">
        <f>G843</f>
        <v>0</v>
      </c>
      <c r="H842" s="88">
        <f t="shared" si="88"/>
        <v>0</v>
      </c>
      <c r="I842" s="88">
        <f t="shared" si="88"/>
        <v>0</v>
      </c>
      <c r="J842" s="42"/>
      <c r="K842" s="35"/>
      <c r="L842" s="35"/>
      <c r="M842" s="36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  <c r="AC842" s="35"/>
    </row>
    <row r="843" spans="1:29" ht="20.25" customHeight="1" hidden="1">
      <c r="A843" s="131" t="s">
        <v>537</v>
      </c>
      <c r="B843" s="103">
        <v>840</v>
      </c>
      <c r="C843" s="87" t="s">
        <v>508</v>
      </c>
      <c r="D843" s="87" t="s">
        <v>508</v>
      </c>
      <c r="E843" s="87" t="s">
        <v>516</v>
      </c>
      <c r="F843" s="87" t="s">
        <v>536</v>
      </c>
      <c r="G843" s="88"/>
      <c r="H843" s="88"/>
      <c r="I843" s="88"/>
      <c r="J843" s="42"/>
      <c r="K843" s="35"/>
      <c r="L843" s="35"/>
      <c r="M843" s="36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  <c r="AC843" s="35"/>
    </row>
    <row r="844" spans="1:29" ht="33" customHeight="1">
      <c r="A844" s="133" t="s">
        <v>93</v>
      </c>
      <c r="B844" s="103">
        <v>841</v>
      </c>
      <c r="C844" s="87"/>
      <c r="D844" s="87"/>
      <c r="E844" s="87"/>
      <c r="F844" s="87"/>
      <c r="G844" s="88">
        <f>SUM(G845,G855,G917,)</f>
        <v>912981.5000000001</v>
      </c>
      <c r="H844" s="88">
        <f>SUM(H845,H855,H917,)</f>
        <v>432611.2</v>
      </c>
      <c r="I844" s="88">
        <f>SUM(I845,I855,I917,)</f>
        <v>16472.8</v>
      </c>
      <c r="J844" s="42"/>
      <c r="K844" s="35"/>
      <c r="L844" s="35"/>
      <c r="M844" s="36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  <c r="AC844" s="35"/>
    </row>
    <row r="845" spans="1:29" ht="16.5">
      <c r="A845" s="125" t="s">
        <v>418</v>
      </c>
      <c r="B845" s="103">
        <v>841</v>
      </c>
      <c r="C845" s="87" t="s">
        <v>793</v>
      </c>
      <c r="D845" s="87"/>
      <c r="E845" s="87"/>
      <c r="F845" s="87"/>
      <c r="G845" s="88">
        <f>SUM(G846)</f>
        <v>16595.9</v>
      </c>
      <c r="H845" s="88">
        <f aca="true" t="shared" si="89" ref="H845:I848">SUM(H846)</f>
        <v>16458.4</v>
      </c>
      <c r="I845" s="88">
        <f t="shared" si="89"/>
        <v>16472.8</v>
      </c>
      <c r="J845" s="42"/>
      <c r="K845" s="35"/>
      <c r="L845" s="35"/>
      <c r="M845" s="36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C845" s="35"/>
    </row>
    <row r="846" spans="1:29" ht="21.75" customHeight="1">
      <c r="A846" s="131" t="s">
        <v>44</v>
      </c>
      <c r="B846" s="103">
        <v>841</v>
      </c>
      <c r="C846" s="87" t="s">
        <v>793</v>
      </c>
      <c r="D846" s="87" t="s">
        <v>509</v>
      </c>
      <c r="E846" s="87"/>
      <c r="F846" s="87"/>
      <c r="G846" s="88">
        <f>SUM(G847)</f>
        <v>16595.9</v>
      </c>
      <c r="H846" s="88">
        <f t="shared" si="89"/>
        <v>16458.4</v>
      </c>
      <c r="I846" s="88">
        <f t="shared" si="89"/>
        <v>16472.8</v>
      </c>
      <c r="J846" s="42"/>
      <c r="K846" s="35"/>
      <c r="L846" s="35"/>
      <c r="M846" s="36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5"/>
    </row>
    <row r="847" spans="1:29" ht="48.75" customHeight="1">
      <c r="A847" s="125" t="s">
        <v>26</v>
      </c>
      <c r="B847" s="103">
        <v>841</v>
      </c>
      <c r="C847" s="87" t="s">
        <v>793</v>
      </c>
      <c r="D847" s="87" t="s">
        <v>509</v>
      </c>
      <c r="E847" s="87" t="s">
        <v>27</v>
      </c>
      <c r="F847" s="87"/>
      <c r="G847" s="88">
        <f>SUM(G848)</f>
        <v>16595.9</v>
      </c>
      <c r="H847" s="88">
        <f t="shared" si="89"/>
        <v>16458.4</v>
      </c>
      <c r="I847" s="88">
        <f t="shared" si="89"/>
        <v>16472.8</v>
      </c>
      <c r="J847" s="42"/>
      <c r="K847" s="35"/>
      <c r="L847" s="35"/>
      <c r="M847" s="36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C847" s="35"/>
    </row>
    <row r="848" spans="1:29" ht="16.5">
      <c r="A848" s="125" t="s">
        <v>31</v>
      </c>
      <c r="B848" s="103">
        <v>841</v>
      </c>
      <c r="C848" s="87" t="s">
        <v>793</v>
      </c>
      <c r="D848" s="87" t="s">
        <v>509</v>
      </c>
      <c r="E848" s="87" t="s">
        <v>29</v>
      </c>
      <c r="F848" s="87"/>
      <c r="G848" s="88">
        <f>SUM(G849)</f>
        <v>16595.9</v>
      </c>
      <c r="H848" s="88">
        <f t="shared" si="89"/>
        <v>16458.4</v>
      </c>
      <c r="I848" s="88">
        <f t="shared" si="89"/>
        <v>16472.8</v>
      </c>
      <c r="J848" s="42"/>
      <c r="K848" s="35"/>
      <c r="L848" s="35"/>
      <c r="M848" s="36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  <c r="AC848" s="35"/>
    </row>
    <row r="849" spans="1:29" ht="19.5" customHeight="1">
      <c r="A849" s="124" t="s">
        <v>346</v>
      </c>
      <c r="B849" s="103">
        <v>841</v>
      </c>
      <c r="C849" s="87" t="s">
        <v>793</v>
      </c>
      <c r="D849" s="87" t="s">
        <v>509</v>
      </c>
      <c r="E849" s="87" t="s">
        <v>29</v>
      </c>
      <c r="F849" s="87" t="s">
        <v>197</v>
      </c>
      <c r="G849" s="88">
        <f>16470.4+125.5</f>
        <v>16595.9</v>
      </c>
      <c r="H849" s="88">
        <f>16332.9+125.5</f>
        <v>16458.4</v>
      </c>
      <c r="I849" s="88">
        <f>16347.3+125.5</f>
        <v>16472.8</v>
      </c>
      <c r="J849" s="42"/>
      <c r="K849" s="35"/>
      <c r="L849" s="35"/>
      <c r="M849" s="36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  <c r="AA849" s="35"/>
      <c r="AB849" s="35"/>
      <c r="AC849" s="35"/>
    </row>
    <row r="850" spans="1:29" ht="19.5" customHeight="1" hidden="1">
      <c r="A850" s="131" t="s">
        <v>364</v>
      </c>
      <c r="B850" s="103">
        <v>841</v>
      </c>
      <c r="C850" s="87" t="s">
        <v>508</v>
      </c>
      <c r="D850" s="87"/>
      <c r="E850" s="87"/>
      <c r="F850" s="87"/>
      <c r="G850" s="88">
        <f>G851</f>
        <v>0</v>
      </c>
      <c r="H850" s="88">
        <f aca="true" t="shared" si="90" ref="H850:I853">H851</f>
        <v>0</v>
      </c>
      <c r="I850" s="88">
        <f t="shared" si="90"/>
        <v>0</v>
      </c>
      <c r="J850" s="42"/>
      <c r="K850" s="35"/>
      <c r="L850" s="35"/>
      <c r="M850" s="36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  <c r="AC850" s="35"/>
    </row>
    <row r="851" spans="1:29" ht="19.5" customHeight="1" hidden="1">
      <c r="A851" s="131" t="s">
        <v>231</v>
      </c>
      <c r="B851" s="103">
        <v>841</v>
      </c>
      <c r="C851" s="87" t="s">
        <v>508</v>
      </c>
      <c r="D851" s="87" t="s">
        <v>508</v>
      </c>
      <c r="E851" s="87"/>
      <c r="F851" s="87"/>
      <c r="G851" s="88">
        <f>G852</f>
        <v>0</v>
      </c>
      <c r="H851" s="88">
        <f t="shared" si="90"/>
        <v>0</v>
      </c>
      <c r="I851" s="88">
        <f t="shared" si="90"/>
        <v>0</v>
      </c>
      <c r="J851" s="42"/>
      <c r="K851" s="35"/>
      <c r="L851" s="35"/>
      <c r="M851" s="36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  <c r="AA851" s="35"/>
      <c r="AB851" s="35"/>
      <c r="AC851" s="35"/>
    </row>
    <row r="852" spans="1:29" ht="19.5" customHeight="1" hidden="1">
      <c r="A852" s="125" t="s">
        <v>209</v>
      </c>
      <c r="B852" s="103">
        <v>841</v>
      </c>
      <c r="C852" s="87" t="s">
        <v>508</v>
      </c>
      <c r="D852" s="87" t="s">
        <v>508</v>
      </c>
      <c r="E852" s="87" t="s">
        <v>473</v>
      </c>
      <c r="F852" s="87"/>
      <c r="G852" s="88">
        <f>G853</f>
        <v>0</v>
      </c>
      <c r="H852" s="88">
        <f t="shared" si="90"/>
        <v>0</v>
      </c>
      <c r="I852" s="88">
        <f t="shared" si="90"/>
        <v>0</v>
      </c>
      <c r="J852" s="42"/>
      <c r="K852" s="35"/>
      <c r="L852" s="35"/>
      <c r="M852" s="36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  <c r="AA852" s="35"/>
      <c r="AB852" s="35"/>
      <c r="AC852" s="35"/>
    </row>
    <row r="853" spans="1:29" ht="19.5" customHeight="1" hidden="1">
      <c r="A853" s="140" t="s">
        <v>301</v>
      </c>
      <c r="B853" s="103">
        <v>841</v>
      </c>
      <c r="C853" s="87" t="s">
        <v>508</v>
      </c>
      <c r="D853" s="87" t="s">
        <v>508</v>
      </c>
      <c r="E853" s="87" t="s">
        <v>516</v>
      </c>
      <c r="F853" s="87"/>
      <c r="G853" s="88">
        <f>G854</f>
        <v>0</v>
      </c>
      <c r="H853" s="88">
        <f t="shared" si="90"/>
        <v>0</v>
      </c>
      <c r="I853" s="88">
        <f t="shared" si="90"/>
        <v>0</v>
      </c>
      <c r="J853" s="42"/>
      <c r="K853" s="35"/>
      <c r="L853" s="35"/>
      <c r="M853" s="36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  <c r="AA853" s="35"/>
      <c r="AB853" s="35"/>
      <c r="AC853" s="35"/>
    </row>
    <row r="854" spans="1:29" ht="19.5" customHeight="1" hidden="1">
      <c r="A854" s="131" t="s">
        <v>537</v>
      </c>
      <c r="B854" s="103">
        <v>841</v>
      </c>
      <c r="C854" s="87" t="s">
        <v>508</v>
      </c>
      <c r="D854" s="87" t="s">
        <v>508</v>
      </c>
      <c r="E854" s="87" t="s">
        <v>516</v>
      </c>
      <c r="F854" s="87" t="s">
        <v>536</v>
      </c>
      <c r="G854" s="88"/>
      <c r="H854" s="88"/>
      <c r="I854" s="88"/>
      <c r="J854" s="42"/>
      <c r="K854" s="35"/>
      <c r="L854" s="35"/>
      <c r="M854" s="36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C854" s="35"/>
    </row>
    <row r="855" spans="1:29" ht="18" customHeight="1" hidden="1">
      <c r="A855" s="133" t="s">
        <v>94</v>
      </c>
      <c r="B855" s="103">
        <v>841</v>
      </c>
      <c r="C855" s="111"/>
      <c r="D855" s="111"/>
      <c r="E855" s="111"/>
      <c r="F855" s="111"/>
      <c r="G855" s="88">
        <f>SUM(G856,G867,G883,G903,G908,G872)</f>
        <v>175552.5</v>
      </c>
      <c r="H855" s="88">
        <f>SUM(H856,H867,H883,H903,H908,H872)</f>
        <v>0</v>
      </c>
      <c r="I855" s="88">
        <f>SUM(I856,I867,I883,I903,I908,I872)</f>
        <v>0</v>
      </c>
      <c r="J855" s="42"/>
      <c r="K855" s="35"/>
      <c r="L855" s="35"/>
      <c r="M855" s="36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  <c r="AC855" s="35"/>
    </row>
    <row r="856" spans="1:29" ht="18" customHeight="1" hidden="1">
      <c r="A856" s="141" t="s">
        <v>0</v>
      </c>
      <c r="B856" s="103">
        <v>841</v>
      </c>
      <c r="C856" s="87" t="s">
        <v>790</v>
      </c>
      <c r="D856" s="111"/>
      <c r="E856" s="111"/>
      <c r="F856" s="111"/>
      <c r="G856" s="88">
        <f>G857</f>
        <v>2200</v>
      </c>
      <c r="H856" s="88">
        <f>H857</f>
        <v>0</v>
      </c>
      <c r="I856" s="88">
        <f>I857</f>
        <v>0</v>
      </c>
      <c r="J856" s="42"/>
      <c r="K856" s="35"/>
      <c r="L856" s="35"/>
      <c r="M856" s="36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  <c r="AC856" s="35"/>
    </row>
    <row r="857" spans="1:29" ht="18" customHeight="1" hidden="1">
      <c r="A857" s="131" t="s">
        <v>305</v>
      </c>
      <c r="B857" s="103">
        <v>841</v>
      </c>
      <c r="C857" s="87" t="s">
        <v>790</v>
      </c>
      <c r="D857" s="87" t="s">
        <v>487</v>
      </c>
      <c r="E857" s="87"/>
      <c r="F857" s="87"/>
      <c r="G857" s="88">
        <f>G858+G861</f>
        <v>2200</v>
      </c>
      <c r="H857" s="88">
        <f aca="true" t="shared" si="91" ref="H857:I859">H858</f>
        <v>0</v>
      </c>
      <c r="I857" s="88">
        <f t="shared" si="91"/>
        <v>0</v>
      </c>
      <c r="J857" s="42"/>
      <c r="K857" s="35"/>
      <c r="L857" s="35"/>
      <c r="M857" s="36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  <c r="AA857" s="35"/>
      <c r="AB857" s="35"/>
      <c r="AC857" s="35"/>
    </row>
    <row r="858" spans="1:29" ht="18" customHeight="1" hidden="1">
      <c r="A858" s="140" t="s">
        <v>5</v>
      </c>
      <c r="B858" s="103">
        <v>841</v>
      </c>
      <c r="C858" s="87" t="s">
        <v>790</v>
      </c>
      <c r="D858" s="87" t="s">
        <v>487</v>
      </c>
      <c r="E858" s="87" t="s">
        <v>342</v>
      </c>
      <c r="F858" s="87"/>
      <c r="G858" s="88">
        <f>G859</f>
        <v>0</v>
      </c>
      <c r="H858" s="88">
        <f t="shared" si="91"/>
        <v>0</v>
      </c>
      <c r="I858" s="88">
        <f t="shared" si="91"/>
        <v>0</v>
      </c>
      <c r="J858" s="42"/>
      <c r="K858" s="35"/>
      <c r="L858" s="35"/>
      <c r="M858" s="36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  <c r="AA858" s="35"/>
      <c r="AB858" s="35"/>
      <c r="AC858" s="35"/>
    </row>
    <row r="859" spans="1:29" ht="18" customHeight="1" hidden="1">
      <c r="A859" s="125" t="s">
        <v>6</v>
      </c>
      <c r="B859" s="103">
        <v>841</v>
      </c>
      <c r="C859" s="87" t="s">
        <v>790</v>
      </c>
      <c r="D859" s="87" t="s">
        <v>487</v>
      </c>
      <c r="E859" s="87" t="s">
        <v>399</v>
      </c>
      <c r="F859" s="87"/>
      <c r="G859" s="88">
        <f>G860</f>
        <v>0</v>
      </c>
      <c r="H859" s="88">
        <f t="shared" si="91"/>
        <v>0</v>
      </c>
      <c r="I859" s="88">
        <f t="shared" si="91"/>
        <v>0</v>
      </c>
      <c r="J859" s="42"/>
      <c r="K859" s="35"/>
      <c r="L859" s="35"/>
      <c r="M859" s="36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  <c r="AA859" s="35"/>
      <c r="AB859" s="35"/>
      <c r="AC859" s="35"/>
    </row>
    <row r="860" spans="1:29" ht="18" customHeight="1" hidden="1">
      <c r="A860" s="124" t="s">
        <v>346</v>
      </c>
      <c r="B860" s="103">
        <v>841</v>
      </c>
      <c r="C860" s="87" t="s">
        <v>790</v>
      </c>
      <c r="D860" s="87" t="s">
        <v>487</v>
      </c>
      <c r="E860" s="87" t="s">
        <v>399</v>
      </c>
      <c r="F860" s="87" t="s">
        <v>197</v>
      </c>
      <c r="G860" s="88"/>
      <c r="H860" s="88"/>
      <c r="I860" s="88"/>
      <c r="J860" s="42"/>
      <c r="K860" s="35"/>
      <c r="L860" s="35"/>
      <c r="M860" s="36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  <c r="AA860" s="35"/>
      <c r="AB860" s="35"/>
      <c r="AC860" s="35"/>
    </row>
    <row r="861" spans="1:29" ht="18" customHeight="1" hidden="1">
      <c r="A861" s="125" t="s">
        <v>608</v>
      </c>
      <c r="B861" s="103">
        <v>841</v>
      </c>
      <c r="C861" s="87" t="s">
        <v>790</v>
      </c>
      <c r="D861" s="87" t="s">
        <v>487</v>
      </c>
      <c r="E861" s="105" t="s">
        <v>141</v>
      </c>
      <c r="F861" s="87"/>
      <c r="G861" s="88">
        <f aca="true" t="shared" si="92" ref="G861:I862">G862</f>
        <v>2200</v>
      </c>
      <c r="H861" s="88">
        <f t="shared" si="92"/>
        <v>0</v>
      </c>
      <c r="I861" s="88">
        <f t="shared" si="92"/>
        <v>0</v>
      </c>
      <c r="J861" s="42"/>
      <c r="K861" s="35"/>
      <c r="L861" s="35"/>
      <c r="M861" s="36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  <c r="AA861" s="35"/>
      <c r="AB861" s="35"/>
      <c r="AC861" s="35"/>
    </row>
    <row r="862" spans="1:29" ht="18" customHeight="1" hidden="1">
      <c r="A862" s="131" t="s">
        <v>540</v>
      </c>
      <c r="B862" s="103">
        <v>841</v>
      </c>
      <c r="C862" s="87" t="s">
        <v>790</v>
      </c>
      <c r="D862" s="87" t="s">
        <v>487</v>
      </c>
      <c r="E862" s="87" t="s">
        <v>142</v>
      </c>
      <c r="F862" s="87"/>
      <c r="G862" s="88">
        <f t="shared" si="92"/>
        <v>2200</v>
      </c>
      <c r="H862" s="88">
        <f t="shared" si="92"/>
        <v>0</v>
      </c>
      <c r="I862" s="88">
        <f t="shared" si="92"/>
        <v>0</v>
      </c>
      <c r="J862" s="42"/>
      <c r="K862" s="35"/>
      <c r="L862" s="35"/>
      <c r="M862" s="36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  <c r="AA862" s="35"/>
      <c r="AB862" s="35"/>
      <c r="AC862" s="35"/>
    </row>
    <row r="863" spans="1:29" ht="18" customHeight="1" hidden="1">
      <c r="A863" s="125" t="s">
        <v>836</v>
      </c>
      <c r="B863" s="103">
        <v>841</v>
      </c>
      <c r="C863" s="87" t="s">
        <v>790</v>
      </c>
      <c r="D863" s="87" t="s">
        <v>487</v>
      </c>
      <c r="E863" s="87" t="s">
        <v>142</v>
      </c>
      <c r="F863" s="87" t="s">
        <v>545</v>
      </c>
      <c r="G863" s="88">
        <v>2200</v>
      </c>
      <c r="H863" s="88"/>
      <c r="I863" s="88"/>
      <c r="J863" s="42"/>
      <c r="K863" s="35"/>
      <c r="L863" s="35"/>
      <c r="M863" s="36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  <c r="AC863" s="35"/>
    </row>
    <row r="864" spans="1:29" ht="18" customHeight="1" hidden="1">
      <c r="A864" s="124" t="s">
        <v>277</v>
      </c>
      <c r="B864" s="103">
        <v>841</v>
      </c>
      <c r="C864" s="87" t="s">
        <v>790</v>
      </c>
      <c r="D864" s="87" t="s">
        <v>487</v>
      </c>
      <c r="E864" s="87" t="s">
        <v>381</v>
      </c>
      <c r="F864" s="87"/>
      <c r="G864" s="88">
        <f aca="true" t="shared" si="93" ref="G864:I865">SUM(G865)</f>
        <v>0</v>
      </c>
      <c r="H864" s="88">
        <f t="shared" si="93"/>
        <v>0</v>
      </c>
      <c r="I864" s="88">
        <f t="shared" si="93"/>
        <v>0</v>
      </c>
      <c r="J864" s="42"/>
      <c r="K864" s="35"/>
      <c r="L864" s="35"/>
      <c r="M864" s="36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  <c r="AC864" s="35"/>
    </row>
    <row r="865" spans="1:29" ht="33.75" customHeight="1" hidden="1">
      <c r="A865" s="131" t="s">
        <v>224</v>
      </c>
      <c r="B865" s="103">
        <v>841</v>
      </c>
      <c r="C865" s="87" t="s">
        <v>790</v>
      </c>
      <c r="D865" s="87" t="s">
        <v>487</v>
      </c>
      <c r="E865" s="87" t="s">
        <v>212</v>
      </c>
      <c r="F865" s="87"/>
      <c r="G865" s="88">
        <f t="shared" si="93"/>
        <v>0</v>
      </c>
      <c r="H865" s="88">
        <f t="shared" si="93"/>
        <v>0</v>
      </c>
      <c r="I865" s="88">
        <f t="shared" si="93"/>
        <v>0</v>
      </c>
      <c r="J865" s="42"/>
      <c r="K865" s="35"/>
      <c r="L865" s="35"/>
      <c r="M865" s="36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C865" s="35"/>
    </row>
    <row r="866" spans="1:29" ht="18" customHeight="1" hidden="1">
      <c r="A866" s="124" t="s">
        <v>4</v>
      </c>
      <c r="B866" s="103">
        <v>841</v>
      </c>
      <c r="C866" s="87" t="s">
        <v>790</v>
      </c>
      <c r="D866" s="87" t="s">
        <v>487</v>
      </c>
      <c r="E866" s="87" t="s">
        <v>212</v>
      </c>
      <c r="F866" s="87" t="s">
        <v>55</v>
      </c>
      <c r="G866" s="88"/>
      <c r="H866" s="88"/>
      <c r="I866" s="88"/>
      <c r="J866" s="42"/>
      <c r="K866" s="35"/>
      <c r="L866" s="35"/>
      <c r="M866" s="36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C866" s="35"/>
    </row>
    <row r="867" spans="1:29" ht="18" customHeight="1" hidden="1">
      <c r="A867" s="131" t="s">
        <v>306</v>
      </c>
      <c r="B867" s="103">
        <v>841</v>
      </c>
      <c r="C867" s="87" t="s">
        <v>792</v>
      </c>
      <c r="D867" s="87"/>
      <c r="E867" s="87"/>
      <c r="F867" s="87"/>
      <c r="G867" s="88">
        <f>SUM(G868,)</f>
        <v>800</v>
      </c>
      <c r="H867" s="88">
        <f>SUM(H868,)</f>
        <v>0</v>
      </c>
      <c r="I867" s="88">
        <f>SUM(I868,)</f>
        <v>0</v>
      </c>
      <c r="J867" s="42"/>
      <c r="K867" s="35"/>
      <c r="L867" s="35"/>
      <c r="M867" s="36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  <c r="AC867" s="35"/>
    </row>
    <row r="868" spans="1:29" ht="36.75" customHeight="1" hidden="1">
      <c r="A868" s="131" t="s">
        <v>105</v>
      </c>
      <c r="B868" s="103">
        <v>841</v>
      </c>
      <c r="C868" s="87" t="s">
        <v>792</v>
      </c>
      <c r="D868" s="87" t="s">
        <v>40</v>
      </c>
      <c r="E868" s="87"/>
      <c r="F868" s="87"/>
      <c r="G868" s="88">
        <f>SUM(G869)</f>
        <v>800</v>
      </c>
      <c r="H868" s="88">
        <f aca="true" t="shared" si="94" ref="H868:I870">SUM(H869)</f>
        <v>0</v>
      </c>
      <c r="I868" s="88">
        <f t="shared" si="94"/>
        <v>0</v>
      </c>
      <c r="J868" s="42"/>
      <c r="K868" s="35"/>
      <c r="L868" s="35"/>
      <c r="M868" s="36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  <c r="AA868" s="35"/>
      <c r="AB868" s="35"/>
      <c r="AC868" s="35"/>
    </row>
    <row r="869" spans="1:29" ht="18" customHeight="1" hidden="1">
      <c r="A869" s="131" t="s">
        <v>386</v>
      </c>
      <c r="B869" s="103">
        <v>841</v>
      </c>
      <c r="C869" s="87" t="s">
        <v>792</v>
      </c>
      <c r="D869" s="87" t="s">
        <v>40</v>
      </c>
      <c r="E869" s="87" t="s">
        <v>388</v>
      </c>
      <c r="F869" s="87"/>
      <c r="G869" s="88">
        <f>SUM(G870)</f>
        <v>800</v>
      </c>
      <c r="H869" s="88">
        <f t="shared" si="94"/>
        <v>0</v>
      </c>
      <c r="I869" s="88">
        <f t="shared" si="94"/>
        <v>0</v>
      </c>
      <c r="J869" s="42"/>
      <c r="K869" s="35"/>
      <c r="L869" s="35"/>
      <c r="M869" s="36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  <c r="AC869" s="35"/>
    </row>
    <row r="870" spans="1:29" ht="18" customHeight="1" hidden="1">
      <c r="A870" s="131" t="s">
        <v>389</v>
      </c>
      <c r="B870" s="103">
        <v>841</v>
      </c>
      <c r="C870" s="87" t="s">
        <v>792</v>
      </c>
      <c r="D870" s="87" t="s">
        <v>40</v>
      </c>
      <c r="E870" s="87" t="s">
        <v>387</v>
      </c>
      <c r="F870" s="87"/>
      <c r="G870" s="88">
        <f>SUM(G871)</f>
        <v>800</v>
      </c>
      <c r="H870" s="88">
        <f t="shared" si="94"/>
        <v>0</v>
      </c>
      <c r="I870" s="88">
        <f t="shared" si="94"/>
        <v>0</v>
      </c>
      <c r="J870" s="42"/>
      <c r="K870" s="35"/>
      <c r="L870" s="35"/>
      <c r="M870" s="36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  <c r="AA870" s="35"/>
      <c r="AB870" s="35"/>
      <c r="AC870" s="35"/>
    </row>
    <row r="871" spans="1:29" ht="18" customHeight="1" hidden="1">
      <c r="A871" s="125" t="s">
        <v>836</v>
      </c>
      <c r="B871" s="103">
        <v>841</v>
      </c>
      <c r="C871" s="87" t="s">
        <v>792</v>
      </c>
      <c r="D871" s="87" t="s">
        <v>40</v>
      </c>
      <c r="E871" s="87" t="s">
        <v>387</v>
      </c>
      <c r="F871" s="87" t="s">
        <v>545</v>
      </c>
      <c r="G871" s="88">
        <v>800</v>
      </c>
      <c r="H871" s="88"/>
      <c r="I871" s="88"/>
      <c r="J871" s="42"/>
      <c r="K871" s="35"/>
      <c r="L871" s="35"/>
      <c r="M871" s="36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  <c r="AC871" s="35"/>
    </row>
    <row r="872" spans="1:29" ht="21" customHeight="1" hidden="1">
      <c r="A872" s="132" t="s">
        <v>390</v>
      </c>
      <c r="B872" s="103">
        <v>841</v>
      </c>
      <c r="C872" s="87" t="s">
        <v>42</v>
      </c>
      <c r="D872" s="87"/>
      <c r="E872" s="87"/>
      <c r="F872" s="87"/>
      <c r="G872" s="88">
        <f>G877+G873</f>
        <v>69052</v>
      </c>
      <c r="H872" s="88">
        <f>H877+H873</f>
        <v>0</v>
      </c>
      <c r="I872" s="88">
        <f>I877+I873</f>
        <v>0</v>
      </c>
      <c r="J872" s="42"/>
      <c r="K872" s="35"/>
      <c r="L872" s="35"/>
      <c r="M872" s="36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  <c r="AC872" s="35"/>
    </row>
    <row r="873" spans="1:29" ht="21" customHeight="1" hidden="1">
      <c r="A873" s="131" t="s">
        <v>47</v>
      </c>
      <c r="B873" s="103">
        <v>841</v>
      </c>
      <c r="C873" s="87" t="s">
        <v>42</v>
      </c>
      <c r="D873" s="87" t="s">
        <v>790</v>
      </c>
      <c r="E873" s="87"/>
      <c r="F873" s="87"/>
      <c r="G873" s="88">
        <f>SUM(G874)</f>
        <v>2000</v>
      </c>
      <c r="H873" s="88">
        <f aca="true" t="shared" si="95" ref="H873:I875">SUM(H874)</f>
        <v>0</v>
      </c>
      <c r="I873" s="88">
        <f t="shared" si="95"/>
        <v>0</v>
      </c>
      <c r="J873" s="42"/>
      <c r="K873" s="35"/>
      <c r="L873" s="35"/>
      <c r="M873" s="36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  <c r="AC873" s="35"/>
    </row>
    <row r="874" spans="1:29" ht="21" customHeight="1" hidden="1">
      <c r="A874" s="131" t="s">
        <v>210</v>
      </c>
      <c r="B874" s="103">
        <v>841</v>
      </c>
      <c r="C874" s="87" t="s">
        <v>42</v>
      </c>
      <c r="D874" s="87" t="s">
        <v>790</v>
      </c>
      <c r="E874" s="87" t="s">
        <v>396</v>
      </c>
      <c r="F874" s="87"/>
      <c r="G874" s="88">
        <f>SUM(G875)</f>
        <v>2000</v>
      </c>
      <c r="H874" s="88">
        <f t="shared" si="95"/>
        <v>0</v>
      </c>
      <c r="I874" s="88">
        <f t="shared" si="95"/>
        <v>0</v>
      </c>
      <c r="J874" s="42"/>
      <c r="K874" s="35"/>
      <c r="L874" s="35"/>
      <c r="M874" s="36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5"/>
    </row>
    <row r="875" spans="1:29" ht="21" customHeight="1" hidden="1">
      <c r="A875" s="131" t="s">
        <v>109</v>
      </c>
      <c r="B875" s="103">
        <v>841</v>
      </c>
      <c r="C875" s="87" t="s">
        <v>42</v>
      </c>
      <c r="D875" s="87" t="s">
        <v>790</v>
      </c>
      <c r="E875" s="87" t="s">
        <v>395</v>
      </c>
      <c r="F875" s="87"/>
      <c r="G875" s="88">
        <f>SUM(G876)</f>
        <v>2000</v>
      </c>
      <c r="H875" s="88">
        <f t="shared" si="95"/>
        <v>0</v>
      </c>
      <c r="I875" s="88">
        <f t="shared" si="95"/>
        <v>0</v>
      </c>
      <c r="J875" s="42"/>
      <c r="K875" s="35"/>
      <c r="L875" s="35"/>
      <c r="M875" s="36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5"/>
    </row>
    <row r="876" spans="1:29" ht="21" customHeight="1" hidden="1">
      <c r="A876" s="125" t="s">
        <v>346</v>
      </c>
      <c r="B876" s="103">
        <v>841</v>
      </c>
      <c r="C876" s="87" t="s">
        <v>42</v>
      </c>
      <c r="D876" s="87" t="s">
        <v>790</v>
      </c>
      <c r="E876" s="87" t="s">
        <v>395</v>
      </c>
      <c r="F876" s="87" t="s">
        <v>197</v>
      </c>
      <c r="G876" s="88">
        <v>2000</v>
      </c>
      <c r="H876" s="88"/>
      <c r="I876" s="88"/>
      <c r="J876" s="42"/>
      <c r="K876" s="35"/>
      <c r="L876" s="35"/>
      <c r="M876" s="36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5"/>
    </row>
    <row r="877" spans="1:29" ht="17.25" customHeight="1" hidden="1">
      <c r="A877" s="132" t="s">
        <v>111</v>
      </c>
      <c r="B877" s="103">
        <v>841</v>
      </c>
      <c r="C877" s="87" t="s">
        <v>42</v>
      </c>
      <c r="D877" s="87" t="s">
        <v>792</v>
      </c>
      <c r="E877" s="87"/>
      <c r="F877" s="87"/>
      <c r="G877" s="88">
        <f>G878</f>
        <v>67052</v>
      </c>
      <c r="H877" s="88">
        <f>H878</f>
        <v>0</v>
      </c>
      <c r="I877" s="88">
        <f>I878</f>
        <v>0</v>
      </c>
      <c r="J877" s="42"/>
      <c r="K877" s="35"/>
      <c r="L877" s="35"/>
      <c r="M877" s="36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  <c r="AC877" s="35"/>
    </row>
    <row r="878" spans="1:29" ht="18" customHeight="1" hidden="1">
      <c r="A878" s="131" t="s">
        <v>402</v>
      </c>
      <c r="B878" s="103">
        <v>841</v>
      </c>
      <c r="C878" s="87" t="s">
        <v>42</v>
      </c>
      <c r="D878" s="87" t="s">
        <v>792</v>
      </c>
      <c r="E878" s="87" t="s">
        <v>403</v>
      </c>
      <c r="F878" s="87"/>
      <c r="G878" s="88">
        <f>G879+G881</f>
        <v>67052</v>
      </c>
      <c r="H878" s="88">
        <f>H879+H881</f>
        <v>0</v>
      </c>
      <c r="I878" s="88">
        <f>I879+I881</f>
        <v>0</v>
      </c>
      <c r="J878" s="42"/>
      <c r="K878" s="35"/>
      <c r="L878" s="35"/>
      <c r="M878" s="36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  <c r="AC878" s="35"/>
    </row>
    <row r="879" spans="1:29" ht="33" customHeight="1" hidden="1">
      <c r="A879" s="132" t="s">
        <v>405</v>
      </c>
      <c r="B879" s="103">
        <v>841</v>
      </c>
      <c r="C879" s="87" t="s">
        <v>42</v>
      </c>
      <c r="D879" s="87" t="s">
        <v>792</v>
      </c>
      <c r="E879" s="87" t="s">
        <v>406</v>
      </c>
      <c r="F879" s="87"/>
      <c r="G879" s="88">
        <f>G880</f>
        <v>67052</v>
      </c>
      <c r="H879" s="88">
        <f>H880</f>
        <v>0</v>
      </c>
      <c r="I879" s="88">
        <f>I880</f>
        <v>0</v>
      </c>
      <c r="J879" s="42"/>
      <c r="K879" s="35"/>
      <c r="L879" s="35"/>
      <c r="M879" s="36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  <c r="AA879" s="35"/>
      <c r="AB879" s="35"/>
      <c r="AC879" s="35"/>
    </row>
    <row r="880" spans="1:29" ht="19.5" customHeight="1" hidden="1">
      <c r="A880" s="125" t="s">
        <v>346</v>
      </c>
      <c r="B880" s="103">
        <v>841</v>
      </c>
      <c r="C880" s="87" t="s">
        <v>42</v>
      </c>
      <c r="D880" s="87" t="s">
        <v>792</v>
      </c>
      <c r="E880" s="87" t="s">
        <v>406</v>
      </c>
      <c r="F880" s="87" t="s">
        <v>197</v>
      </c>
      <c r="G880" s="88">
        <v>67052</v>
      </c>
      <c r="H880" s="88"/>
      <c r="I880" s="88"/>
      <c r="J880" s="42"/>
      <c r="K880" s="35"/>
      <c r="L880" s="35"/>
      <c r="M880" s="36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  <c r="AA880" s="35"/>
      <c r="AB880" s="35"/>
      <c r="AC880" s="35"/>
    </row>
    <row r="881" spans="1:29" ht="16.5" customHeight="1" hidden="1">
      <c r="A881" s="132" t="s">
        <v>507</v>
      </c>
      <c r="B881" s="103">
        <v>841</v>
      </c>
      <c r="C881" s="87" t="s">
        <v>42</v>
      </c>
      <c r="D881" s="87" t="s">
        <v>792</v>
      </c>
      <c r="E881" s="87" t="s">
        <v>409</v>
      </c>
      <c r="F881" s="87"/>
      <c r="G881" s="88">
        <f>G882</f>
        <v>0</v>
      </c>
      <c r="H881" s="88">
        <f>H882</f>
        <v>0</v>
      </c>
      <c r="I881" s="88">
        <f>I882</f>
        <v>0</v>
      </c>
      <c r="J881" s="42"/>
      <c r="K881" s="35"/>
      <c r="L881" s="35"/>
      <c r="M881" s="36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  <c r="AA881" s="35"/>
      <c r="AB881" s="35"/>
      <c r="AC881" s="35"/>
    </row>
    <row r="882" spans="1:29" ht="15.75" customHeight="1" hidden="1">
      <c r="A882" s="124" t="s">
        <v>346</v>
      </c>
      <c r="B882" s="103">
        <v>841</v>
      </c>
      <c r="C882" s="87" t="s">
        <v>42</v>
      </c>
      <c r="D882" s="87" t="s">
        <v>792</v>
      </c>
      <c r="E882" s="87" t="s">
        <v>409</v>
      </c>
      <c r="F882" s="87" t="s">
        <v>197</v>
      </c>
      <c r="G882" s="88"/>
      <c r="H882" s="88"/>
      <c r="I882" s="88"/>
      <c r="J882" s="42"/>
      <c r="K882" s="35"/>
      <c r="L882" s="35"/>
      <c r="M882" s="36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  <c r="AA882" s="35"/>
      <c r="AB882" s="35"/>
      <c r="AC882" s="35"/>
    </row>
    <row r="883" spans="1:29" ht="16.5" hidden="1">
      <c r="A883" s="140" t="s">
        <v>412</v>
      </c>
      <c r="B883" s="103">
        <v>841</v>
      </c>
      <c r="C883" s="87" t="s">
        <v>508</v>
      </c>
      <c r="D883" s="87"/>
      <c r="E883" s="87"/>
      <c r="F883" s="87"/>
      <c r="G883" s="88">
        <f>SUM(G884,G888,G895)</f>
        <v>80408.7</v>
      </c>
      <c r="H883" s="88">
        <f>SUM(H884,H888,H895)</f>
        <v>0</v>
      </c>
      <c r="I883" s="88">
        <f>SUM(I884,I888,I895)</f>
        <v>0</v>
      </c>
      <c r="J883" s="42"/>
      <c r="K883" s="35"/>
      <c r="L883" s="35"/>
      <c r="M883" s="36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  <c r="AA883" s="35"/>
      <c r="AB883" s="35"/>
      <c r="AC883" s="35"/>
    </row>
    <row r="884" spans="1:29" ht="16.5" hidden="1">
      <c r="A884" s="131" t="s">
        <v>436</v>
      </c>
      <c r="B884" s="103">
        <v>841</v>
      </c>
      <c r="C884" s="87" t="s">
        <v>508</v>
      </c>
      <c r="D884" s="87" t="s">
        <v>790</v>
      </c>
      <c r="E884" s="87"/>
      <c r="F884" s="87"/>
      <c r="G884" s="88">
        <f>SUM(G885)</f>
        <v>13670.8</v>
      </c>
      <c r="H884" s="88">
        <f aca="true" t="shared" si="96" ref="H884:I886">SUM(H885)</f>
        <v>0</v>
      </c>
      <c r="I884" s="88">
        <f t="shared" si="96"/>
        <v>0</v>
      </c>
      <c r="J884" s="42"/>
      <c r="K884" s="35"/>
      <c r="L884" s="35"/>
      <c r="M884" s="36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  <c r="AC884" s="35"/>
    </row>
    <row r="885" spans="1:29" ht="18" customHeight="1" hidden="1">
      <c r="A885" s="131" t="s">
        <v>53</v>
      </c>
      <c r="B885" s="103">
        <v>841</v>
      </c>
      <c r="C885" s="87" t="s">
        <v>508</v>
      </c>
      <c r="D885" s="87" t="s">
        <v>790</v>
      </c>
      <c r="E885" s="87" t="s">
        <v>437</v>
      </c>
      <c r="F885" s="87"/>
      <c r="G885" s="88">
        <f>SUM(G886)</f>
        <v>13670.8</v>
      </c>
      <c r="H885" s="88">
        <f t="shared" si="96"/>
        <v>0</v>
      </c>
      <c r="I885" s="88">
        <f t="shared" si="96"/>
        <v>0</v>
      </c>
      <c r="J885" s="42"/>
      <c r="K885" s="35"/>
      <c r="L885" s="35"/>
      <c r="M885" s="36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  <c r="AC885" s="35"/>
    </row>
    <row r="886" spans="1:29" ht="16.5" customHeight="1" hidden="1">
      <c r="A886" s="131" t="s">
        <v>389</v>
      </c>
      <c r="B886" s="103">
        <v>841</v>
      </c>
      <c r="C886" s="87" t="s">
        <v>508</v>
      </c>
      <c r="D886" s="87" t="s">
        <v>790</v>
      </c>
      <c r="E886" s="87" t="s">
        <v>438</v>
      </c>
      <c r="F886" s="87"/>
      <c r="G886" s="88">
        <f>SUM(G887)</f>
        <v>13670.8</v>
      </c>
      <c r="H886" s="88">
        <f t="shared" si="96"/>
        <v>0</v>
      </c>
      <c r="I886" s="88">
        <f t="shared" si="96"/>
        <v>0</v>
      </c>
      <c r="J886" s="42"/>
      <c r="K886" s="35"/>
      <c r="L886" s="35"/>
      <c r="M886" s="36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  <c r="AC886" s="35"/>
    </row>
    <row r="887" spans="1:29" ht="18.75" customHeight="1" hidden="1">
      <c r="A887" s="125" t="s">
        <v>836</v>
      </c>
      <c r="B887" s="103">
        <v>841</v>
      </c>
      <c r="C887" s="87" t="s">
        <v>508</v>
      </c>
      <c r="D887" s="87" t="s">
        <v>790</v>
      </c>
      <c r="E887" s="87" t="s">
        <v>438</v>
      </c>
      <c r="F887" s="87" t="s">
        <v>545</v>
      </c>
      <c r="G887" s="88">
        <v>13670.8</v>
      </c>
      <c r="H887" s="88"/>
      <c r="I887" s="88"/>
      <c r="J887" s="42"/>
      <c r="K887" s="35"/>
      <c r="L887" s="35"/>
      <c r="M887" s="36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  <c r="AA887" s="35"/>
      <c r="AB887" s="35"/>
      <c r="AC887" s="35"/>
    </row>
    <row r="888" spans="1:29" ht="16.5" hidden="1">
      <c r="A888" s="131" t="s">
        <v>103</v>
      </c>
      <c r="B888" s="103">
        <v>841</v>
      </c>
      <c r="C888" s="87" t="s">
        <v>508</v>
      </c>
      <c r="D888" s="87" t="s">
        <v>791</v>
      </c>
      <c r="E888" s="87"/>
      <c r="F888" s="87"/>
      <c r="G888" s="88">
        <f>SUM(G889,G892)</f>
        <v>59775.4</v>
      </c>
      <c r="H888" s="88">
        <f>SUM(H889,H892)</f>
        <v>0</v>
      </c>
      <c r="I888" s="88">
        <f>SUM(I889,I892)</f>
        <v>0</v>
      </c>
      <c r="J888" s="42"/>
      <c r="K888" s="35"/>
      <c r="L888" s="35"/>
      <c r="M888" s="36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  <c r="AA888" s="35"/>
      <c r="AB888" s="35"/>
      <c r="AC888" s="35"/>
    </row>
    <row r="889" spans="1:29" ht="20.25" customHeight="1" hidden="1">
      <c r="A889" s="131" t="s">
        <v>283</v>
      </c>
      <c r="B889" s="103">
        <v>841</v>
      </c>
      <c r="C889" s="87" t="s">
        <v>508</v>
      </c>
      <c r="D889" s="87" t="s">
        <v>791</v>
      </c>
      <c r="E889" s="87" t="s">
        <v>439</v>
      </c>
      <c r="F889" s="87"/>
      <c r="G889" s="88">
        <f aca="true" t="shared" si="97" ref="G889:I890">SUM(G890)</f>
        <v>21543.1</v>
      </c>
      <c r="H889" s="88">
        <f t="shared" si="97"/>
        <v>0</v>
      </c>
      <c r="I889" s="88">
        <f t="shared" si="97"/>
        <v>0</v>
      </c>
      <c r="J889" s="42"/>
      <c r="K889" s="35"/>
      <c r="L889" s="35"/>
      <c r="M889" s="36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  <c r="AA889" s="35"/>
      <c r="AB889" s="35"/>
      <c r="AC889" s="35"/>
    </row>
    <row r="890" spans="1:29" ht="18.75" customHeight="1" hidden="1">
      <c r="A890" s="131" t="s">
        <v>389</v>
      </c>
      <c r="B890" s="103">
        <v>841</v>
      </c>
      <c r="C890" s="87" t="s">
        <v>508</v>
      </c>
      <c r="D890" s="87" t="s">
        <v>791</v>
      </c>
      <c r="E890" s="87" t="s">
        <v>440</v>
      </c>
      <c r="F890" s="87"/>
      <c r="G890" s="88">
        <f t="shared" si="97"/>
        <v>21543.1</v>
      </c>
      <c r="H890" s="88">
        <f t="shared" si="97"/>
        <v>0</v>
      </c>
      <c r="I890" s="88">
        <f t="shared" si="97"/>
        <v>0</v>
      </c>
      <c r="J890" s="42"/>
      <c r="K890" s="35"/>
      <c r="L890" s="35"/>
      <c r="M890" s="36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  <c r="AA890" s="35"/>
      <c r="AB890" s="35"/>
      <c r="AC890" s="35"/>
    </row>
    <row r="891" spans="1:29" ht="19.5" customHeight="1" hidden="1">
      <c r="A891" s="125" t="s">
        <v>836</v>
      </c>
      <c r="B891" s="103">
        <v>841</v>
      </c>
      <c r="C891" s="87" t="s">
        <v>508</v>
      </c>
      <c r="D891" s="87" t="s">
        <v>791</v>
      </c>
      <c r="E891" s="87" t="s">
        <v>440</v>
      </c>
      <c r="F891" s="87" t="s">
        <v>545</v>
      </c>
      <c r="G891" s="88">
        <v>21543.1</v>
      </c>
      <c r="H891" s="88"/>
      <c r="I891" s="88"/>
      <c r="J891" s="42"/>
      <c r="K891" s="35"/>
      <c r="L891" s="35"/>
      <c r="M891" s="36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  <c r="AA891" s="35"/>
      <c r="AB891" s="35"/>
      <c r="AC891" s="35"/>
    </row>
    <row r="892" spans="1:29" ht="18" customHeight="1" hidden="1">
      <c r="A892" s="131" t="s">
        <v>465</v>
      </c>
      <c r="B892" s="103">
        <v>841</v>
      </c>
      <c r="C892" s="87" t="s">
        <v>508</v>
      </c>
      <c r="D892" s="87" t="s">
        <v>791</v>
      </c>
      <c r="E892" s="87" t="s">
        <v>442</v>
      </c>
      <c r="F892" s="87"/>
      <c r="G892" s="88">
        <f aca="true" t="shared" si="98" ref="G892:I893">SUM(G893)</f>
        <v>38232.3</v>
      </c>
      <c r="H892" s="88">
        <f t="shared" si="98"/>
        <v>0</v>
      </c>
      <c r="I892" s="88">
        <f t="shared" si="98"/>
        <v>0</v>
      </c>
      <c r="J892" s="42"/>
      <c r="K892" s="35"/>
      <c r="L892" s="35"/>
      <c r="M892" s="36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  <c r="AA892" s="35"/>
      <c r="AB892" s="35"/>
      <c r="AC892" s="35"/>
    </row>
    <row r="893" spans="1:29" ht="17.25" customHeight="1" hidden="1">
      <c r="A893" s="131" t="s">
        <v>389</v>
      </c>
      <c r="B893" s="103">
        <v>841</v>
      </c>
      <c r="C893" s="87" t="s">
        <v>508</v>
      </c>
      <c r="D893" s="87" t="s">
        <v>791</v>
      </c>
      <c r="E893" s="87" t="s">
        <v>443</v>
      </c>
      <c r="F893" s="87"/>
      <c r="G893" s="88">
        <f t="shared" si="98"/>
        <v>38232.3</v>
      </c>
      <c r="H893" s="88">
        <f t="shared" si="98"/>
        <v>0</v>
      </c>
      <c r="I893" s="88">
        <f t="shared" si="98"/>
        <v>0</v>
      </c>
      <c r="J893" s="42"/>
      <c r="K893" s="35"/>
      <c r="L893" s="35"/>
      <c r="M893" s="36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  <c r="AA893" s="35"/>
      <c r="AB893" s="35"/>
      <c r="AC893" s="35"/>
    </row>
    <row r="894" spans="1:29" ht="18.75" customHeight="1" hidden="1">
      <c r="A894" s="125" t="s">
        <v>836</v>
      </c>
      <c r="B894" s="103">
        <v>841</v>
      </c>
      <c r="C894" s="87" t="s">
        <v>508</v>
      </c>
      <c r="D894" s="87" t="s">
        <v>791</v>
      </c>
      <c r="E894" s="87" t="s">
        <v>443</v>
      </c>
      <c r="F894" s="87" t="s">
        <v>545</v>
      </c>
      <c r="G894" s="88">
        <v>38232.3</v>
      </c>
      <c r="H894" s="88"/>
      <c r="I894" s="88"/>
      <c r="J894" s="42"/>
      <c r="K894" s="35"/>
      <c r="L894" s="35"/>
      <c r="M894" s="36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  <c r="AC894" s="35"/>
    </row>
    <row r="895" spans="1:29" ht="18.75" customHeight="1" hidden="1">
      <c r="A895" s="131" t="s">
        <v>104</v>
      </c>
      <c r="B895" s="26">
        <v>841</v>
      </c>
      <c r="C895" s="104" t="s">
        <v>508</v>
      </c>
      <c r="D895" s="104" t="s">
        <v>40</v>
      </c>
      <c r="E895" s="104"/>
      <c r="F895" s="104"/>
      <c r="G895" s="88">
        <f>G896+G899</f>
        <v>6962.5</v>
      </c>
      <c r="H895" s="88">
        <f>H896+H899</f>
        <v>0</v>
      </c>
      <c r="I895" s="88">
        <f>I896+I899</f>
        <v>0</v>
      </c>
      <c r="J895" s="42"/>
      <c r="K895" s="35"/>
      <c r="L895" s="35"/>
      <c r="M895" s="36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  <c r="AC895" s="35"/>
    </row>
    <row r="896" spans="1:29" ht="33.75" customHeight="1" hidden="1">
      <c r="A896" s="125" t="s">
        <v>823</v>
      </c>
      <c r="B896" s="103">
        <v>841</v>
      </c>
      <c r="C896" s="87" t="s">
        <v>508</v>
      </c>
      <c r="D896" s="87" t="s">
        <v>40</v>
      </c>
      <c r="E896" s="87" t="s">
        <v>532</v>
      </c>
      <c r="F896" s="104"/>
      <c r="G896" s="88">
        <f aca="true" t="shared" si="99" ref="G896:I897">SUM(G897)</f>
        <v>0</v>
      </c>
      <c r="H896" s="88">
        <f t="shared" si="99"/>
        <v>0</v>
      </c>
      <c r="I896" s="88">
        <f t="shared" si="99"/>
        <v>0</v>
      </c>
      <c r="J896" s="42"/>
      <c r="K896" s="35"/>
      <c r="L896" s="35"/>
      <c r="M896" s="36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  <c r="AA896" s="35"/>
      <c r="AB896" s="35"/>
      <c r="AC896" s="35"/>
    </row>
    <row r="897" spans="1:29" ht="18.75" customHeight="1" hidden="1">
      <c r="A897" s="131" t="s">
        <v>389</v>
      </c>
      <c r="B897" s="103">
        <v>841</v>
      </c>
      <c r="C897" s="87" t="s">
        <v>508</v>
      </c>
      <c r="D897" s="87" t="s">
        <v>40</v>
      </c>
      <c r="E897" s="87" t="s">
        <v>533</v>
      </c>
      <c r="F897" s="87"/>
      <c r="G897" s="88">
        <f t="shared" si="99"/>
        <v>0</v>
      </c>
      <c r="H897" s="88">
        <f t="shared" si="99"/>
        <v>0</v>
      </c>
      <c r="I897" s="88">
        <f t="shared" si="99"/>
        <v>0</v>
      </c>
      <c r="J897" s="42"/>
      <c r="K897" s="35"/>
      <c r="L897" s="35"/>
      <c r="M897" s="36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  <c r="AA897" s="35"/>
      <c r="AB897" s="35"/>
      <c r="AC897" s="35"/>
    </row>
    <row r="898" spans="1:29" ht="18.75" customHeight="1" hidden="1">
      <c r="A898" s="125" t="s">
        <v>836</v>
      </c>
      <c r="B898" s="103">
        <v>841</v>
      </c>
      <c r="C898" s="87" t="s">
        <v>508</v>
      </c>
      <c r="D898" s="87" t="s">
        <v>40</v>
      </c>
      <c r="E898" s="87" t="s">
        <v>533</v>
      </c>
      <c r="F898" s="87" t="s">
        <v>545</v>
      </c>
      <c r="G898" s="88"/>
      <c r="H898" s="88"/>
      <c r="I898" s="88"/>
      <c r="J898" s="42"/>
      <c r="K898" s="35"/>
      <c r="L898" s="35"/>
      <c r="M898" s="36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  <c r="AA898" s="35"/>
      <c r="AB898" s="35"/>
      <c r="AC898" s="35"/>
    </row>
    <row r="899" spans="1:29" ht="16.5" hidden="1">
      <c r="A899" s="140" t="s">
        <v>349</v>
      </c>
      <c r="B899" s="26">
        <v>841</v>
      </c>
      <c r="C899" s="104" t="s">
        <v>508</v>
      </c>
      <c r="D899" s="104" t="s">
        <v>40</v>
      </c>
      <c r="E899" s="87" t="s">
        <v>343</v>
      </c>
      <c r="F899" s="87"/>
      <c r="G899" s="88">
        <f>SUM(G901)</f>
        <v>6962.5</v>
      </c>
      <c r="H899" s="88">
        <f>SUM(H901)</f>
        <v>0</v>
      </c>
      <c r="I899" s="88">
        <f>SUM(I901)</f>
        <v>0</v>
      </c>
      <c r="J899" s="42"/>
      <c r="K899" s="35"/>
      <c r="L899" s="35"/>
      <c r="M899" s="36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  <c r="AA899" s="35"/>
      <c r="AB899" s="35"/>
      <c r="AC899" s="35"/>
    </row>
    <row r="900" spans="1:29" ht="16.5" hidden="1">
      <c r="A900" s="140" t="s">
        <v>380</v>
      </c>
      <c r="B900" s="26">
        <v>841</v>
      </c>
      <c r="C900" s="104" t="s">
        <v>508</v>
      </c>
      <c r="D900" s="104" t="s">
        <v>40</v>
      </c>
      <c r="E900" s="87" t="s">
        <v>344</v>
      </c>
      <c r="F900" s="87"/>
      <c r="G900" s="88">
        <f>G901</f>
        <v>6962.5</v>
      </c>
      <c r="H900" s="88">
        <f>H901</f>
        <v>0</v>
      </c>
      <c r="I900" s="88">
        <f>I901</f>
        <v>0</v>
      </c>
      <c r="J900" s="42"/>
      <c r="K900" s="35"/>
      <c r="L900" s="35"/>
      <c r="M900" s="36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  <c r="AA900" s="35"/>
      <c r="AB900" s="35"/>
      <c r="AC900" s="35"/>
    </row>
    <row r="901" spans="1:29" ht="18.75" customHeight="1" hidden="1">
      <c r="A901" s="131" t="s">
        <v>778</v>
      </c>
      <c r="B901" s="26">
        <v>841</v>
      </c>
      <c r="C901" s="104" t="s">
        <v>508</v>
      </c>
      <c r="D901" s="104" t="s">
        <v>40</v>
      </c>
      <c r="E901" s="87" t="s">
        <v>348</v>
      </c>
      <c r="F901" s="87"/>
      <c r="G901" s="88">
        <f>SUM(G902)</f>
        <v>6962.5</v>
      </c>
      <c r="H901" s="88">
        <f>SUM(H902)</f>
        <v>0</v>
      </c>
      <c r="I901" s="88">
        <f>SUM(I902)</f>
        <v>0</v>
      </c>
      <c r="J901" s="42"/>
      <c r="K901" s="35"/>
      <c r="L901" s="35"/>
      <c r="M901" s="36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  <c r="AA901" s="35"/>
      <c r="AB901" s="35"/>
      <c r="AC901" s="35"/>
    </row>
    <row r="902" spans="1:29" ht="18.75" customHeight="1" hidden="1">
      <c r="A902" s="124" t="s">
        <v>501</v>
      </c>
      <c r="B902" s="103">
        <v>841</v>
      </c>
      <c r="C902" s="87" t="s">
        <v>508</v>
      </c>
      <c r="D902" s="87" t="s">
        <v>40</v>
      </c>
      <c r="E902" s="87" t="s">
        <v>348</v>
      </c>
      <c r="F902" s="87" t="s">
        <v>102</v>
      </c>
      <c r="G902" s="88">
        <v>6962.5</v>
      </c>
      <c r="H902" s="88"/>
      <c r="I902" s="88"/>
      <c r="J902" s="42"/>
      <c r="K902" s="35"/>
      <c r="L902" s="35"/>
      <c r="M902" s="36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  <c r="AA902" s="35"/>
      <c r="AB902" s="35"/>
      <c r="AC902" s="35"/>
    </row>
    <row r="903" spans="1:29" ht="18" customHeight="1" hidden="1">
      <c r="A903" s="131" t="s">
        <v>216</v>
      </c>
      <c r="B903" s="103">
        <v>841</v>
      </c>
      <c r="C903" s="87" t="s">
        <v>43</v>
      </c>
      <c r="D903" s="87"/>
      <c r="E903" s="87"/>
      <c r="F903" s="87"/>
      <c r="G903" s="88">
        <f>SUM(G904)</f>
        <v>3367.6</v>
      </c>
      <c r="H903" s="88">
        <f aca="true" t="shared" si="100" ref="H903:I906">SUM(H904)</f>
        <v>0</v>
      </c>
      <c r="I903" s="88">
        <f t="shared" si="100"/>
        <v>0</v>
      </c>
      <c r="J903" s="42"/>
      <c r="K903" s="35"/>
      <c r="L903" s="35"/>
      <c r="M903" s="36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  <c r="AA903" s="35"/>
      <c r="AB903" s="35"/>
      <c r="AC903" s="35"/>
    </row>
    <row r="904" spans="1:29" ht="19.5" customHeight="1" hidden="1">
      <c r="A904" s="131" t="s">
        <v>232</v>
      </c>
      <c r="B904" s="103">
        <v>841</v>
      </c>
      <c r="C904" s="87" t="s">
        <v>43</v>
      </c>
      <c r="D904" s="87" t="s">
        <v>790</v>
      </c>
      <c r="E904" s="87"/>
      <c r="F904" s="87"/>
      <c r="G904" s="88">
        <f>SUM(G905)</f>
        <v>3367.6</v>
      </c>
      <c r="H904" s="88">
        <f t="shared" si="100"/>
        <v>0</v>
      </c>
      <c r="I904" s="88">
        <f t="shared" si="100"/>
        <v>0</v>
      </c>
      <c r="J904" s="42"/>
      <c r="K904" s="35"/>
      <c r="L904" s="35"/>
      <c r="M904" s="36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  <c r="AA904" s="35"/>
      <c r="AB904" s="35"/>
      <c r="AC904" s="35"/>
    </row>
    <row r="905" spans="1:29" ht="19.5" customHeight="1" hidden="1">
      <c r="A905" s="131" t="s">
        <v>233</v>
      </c>
      <c r="B905" s="103">
        <v>841</v>
      </c>
      <c r="C905" s="87" t="s">
        <v>43</v>
      </c>
      <c r="D905" s="87" t="s">
        <v>790</v>
      </c>
      <c r="E905" s="87" t="s">
        <v>143</v>
      </c>
      <c r="F905" s="87"/>
      <c r="G905" s="88">
        <f>SUM(G906)</f>
        <v>3367.6</v>
      </c>
      <c r="H905" s="88">
        <f t="shared" si="100"/>
        <v>0</v>
      </c>
      <c r="I905" s="88">
        <f t="shared" si="100"/>
        <v>0</v>
      </c>
      <c r="J905" s="42"/>
      <c r="K905" s="35"/>
      <c r="L905" s="35"/>
      <c r="M905" s="36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  <c r="AA905" s="35"/>
      <c r="AB905" s="35"/>
      <c r="AC905" s="35"/>
    </row>
    <row r="906" spans="1:29" ht="19.5" customHeight="1" hidden="1">
      <c r="A906" s="131" t="s">
        <v>389</v>
      </c>
      <c r="B906" s="103">
        <v>841</v>
      </c>
      <c r="C906" s="87" t="s">
        <v>43</v>
      </c>
      <c r="D906" s="87" t="s">
        <v>790</v>
      </c>
      <c r="E906" s="87" t="s">
        <v>144</v>
      </c>
      <c r="F906" s="87"/>
      <c r="G906" s="88">
        <f>SUM(G907)</f>
        <v>3367.6</v>
      </c>
      <c r="H906" s="88">
        <f t="shared" si="100"/>
        <v>0</v>
      </c>
      <c r="I906" s="88">
        <f t="shared" si="100"/>
        <v>0</v>
      </c>
      <c r="J906" s="42"/>
      <c r="K906" s="35"/>
      <c r="L906" s="35"/>
      <c r="M906" s="36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  <c r="AA906" s="35"/>
      <c r="AB906" s="35"/>
      <c r="AC906" s="35"/>
    </row>
    <row r="907" spans="1:29" ht="19.5" customHeight="1" hidden="1">
      <c r="A907" s="125" t="s">
        <v>140</v>
      </c>
      <c r="B907" s="103">
        <v>841</v>
      </c>
      <c r="C907" s="87" t="s">
        <v>43</v>
      </c>
      <c r="D907" s="87" t="s">
        <v>790</v>
      </c>
      <c r="E907" s="87" t="s">
        <v>144</v>
      </c>
      <c r="F907" s="87" t="s">
        <v>545</v>
      </c>
      <c r="G907" s="88">
        <v>3367.6</v>
      </c>
      <c r="H907" s="88"/>
      <c r="I907" s="88"/>
      <c r="J907" s="42"/>
      <c r="K907" s="35"/>
      <c r="L907" s="35"/>
      <c r="M907" s="36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  <c r="AA907" s="35"/>
      <c r="AB907" s="35"/>
      <c r="AC907" s="35"/>
    </row>
    <row r="908" spans="1:29" ht="16.5" hidden="1">
      <c r="A908" s="131" t="s">
        <v>218</v>
      </c>
      <c r="B908" s="103">
        <v>841</v>
      </c>
      <c r="C908" s="104" t="s">
        <v>40</v>
      </c>
      <c r="D908" s="104"/>
      <c r="E908" s="87"/>
      <c r="F908" s="87"/>
      <c r="G908" s="88">
        <f>G909+G913</f>
        <v>19724.2</v>
      </c>
      <c r="H908" s="88">
        <f>H909+H913</f>
        <v>0</v>
      </c>
      <c r="I908" s="88">
        <f>I909+I913</f>
        <v>0</v>
      </c>
      <c r="J908" s="42"/>
      <c r="K908" s="35"/>
      <c r="L908" s="35"/>
      <c r="M908" s="36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  <c r="AA908" s="35"/>
      <c r="AB908" s="35"/>
      <c r="AC908" s="35"/>
    </row>
    <row r="909" spans="1:29" ht="16.5" hidden="1">
      <c r="A909" s="131" t="s">
        <v>543</v>
      </c>
      <c r="B909" s="103">
        <v>841</v>
      </c>
      <c r="C909" s="87" t="s">
        <v>40</v>
      </c>
      <c r="D909" s="87" t="s">
        <v>790</v>
      </c>
      <c r="E909" s="87"/>
      <c r="F909" s="87"/>
      <c r="G909" s="88">
        <f>SUM(G910)</f>
        <v>19724.2</v>
      </c>
      <c r="H909" s="88">
        <f aca="true" t="shared" si="101" ref="H909:I911">SUM(H910)</f>
        <v>0</v>
      </c>
      <c r="I909" s="88">
        <f t="shared" si="101"/>
        <v>0</v>
      </c>
      <c r="J909" s="42"/>
      <c r="K909" s="35"/>
      <c r="L909" s="35"/>
      <c r="M909" s="36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  <c r="AA909" s="35"/>
      <c r="AB909" s="35"/>
      <c r="AC909" s="35"/>
    </row>
    <row r="910" spans="1:29" ht="18.75" customHeight="1" hidden="1">
      <c r="A910" s="132" t="s">
        <v>293</v>
      </c>
      <c r="B910" s="103">
        <v>841</v>
      </c>
      <c r="C910" s="87" t="s">
        <v>40</v>
      </c>
      <c r="D910" s="87" t="s">
        <v>790</v>
      </c>
      <c r="E910" s="87" t="s">
        <v>121</v>
      </c>
      <c r="F910" s="87"/>
      <c r="G910" s="88">
        <f>SUM(G911)</f>
        <v>19724.2</v>
      </c>
      <c r="H910" s="88">
        <f t="shared" si="101"/>
        <v>0</v>
      </c>
      <c r="I910" s="88">
        <f t="shared" si="101"/>
        <v>0</v>
      </c>
      <c r="J910" s="42"/>
      <c r="K910" s="35"/>
      <c r="L910" s="35"/>
      <c r="M910" s="36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  <c r="AA910" s="35"/>
      <c r="AB910" s="35"/>
      <c r="AC910" s="35"/>
    </row>
    <row r="911" spans="1:29" ht="20.25" customHeight="1" hidden="1">
      <c r="A911" s="131" t="s">
        <v>389</v>
      </c>
      <c r="B911" s="103">
        <v>841</v>
      </c>
      <c r="C911" s="87" t="s">
        <v>40</v>
      </c>
      <c r="D911" s="87" t="s">
        <v>790</v>
      </c>
      <c r="E911" s="87" t="s">
        <v>122</v>
      </c>
      <c r="F911" s="87"/>
      <c r="G911" s="88">
        <f>SUM(G912)</f>
        <v>19724.2</v>
      </c>
      <c r="H911" s="88">
        <f t="shared" si="101"/>
        <v>0</v>
      </c>
      <c r="I911" s="88">
        <f t="shared" si="101"/>
        <v>0</v>
      </c>
      <c r="J911" s="42"/>
      <c r="K911" s="35"/>
      <c r="L911" s="35"/>
      <c r="M911" s="36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  <c r="AA911" s="35"/>
      <c r="AB911" s="35"/>
      <c r="AC911" s="35"/>
    </row>
    <row r="912" spans="1:29" ht="16.5" hidden="1">
      <c r="A912" s="125" t="s">
        <v>836</v>
      </c>
      <c r="B912" s="103">
        <v>841</v>
      </c>
      <c r="C912" s="87" t="s">
        <v>40</v>
      </c>
      <c r="D912" s="87" t="s">
        <v>790</v>
      </c>
      <c r="E912" s="87" t="s">
        <v>122</v>
      </c>
      <c r="F912" s="87" t="s">
        <v>545</v>
      </c>
      <c r="G912" s="88">
        <v>19724.2</v>
      </c>
      <c r="H912" s="88"/>
      <c r="I912" s="88"/>
      <c r="J912" s="42"/>
      <c r="K912" s="35"/>
      <c r="L912" s="35"/>
      <c r="M912" s="36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  <c r="AA912" s="35"/>
      <c r="AB912" s="35"/>
      <c r="AC912" s="35"/>
    </row>
    <row r="913" spans="1:29" ht="16.5" hidden="1">
      <c r="A913" s="132" t="s">
        <v>489</v>
      </c>
      <c r="B913" s="103">
        <v>841</v>
      </c>
      <c r="C913" s="87" t="s">
        <v>40</v>
      </c>
      <c r="D913" s="87" t="s">
        <v>40</v>
      </c>
      <c r="E913" s="87"/>
      <c r="F913" s="87"/>
      <c r="G913" s="88">
        <f>G914</f>
        <v>0</v>
      </c>
      <c r="H913" s="88">
        <f aca="true" t="shared" si="102" ref="H913:I915">H914</f>
        <v>0</v>
      </c>
      <c r="I913" s="88">
        <f t="shared" si="102"/>
        <v>0</v>
      </c>
      <c r="J913" s="42"/>
      <c r="K913" s="35"/>
      <c r="L913" s="35"/>
      <c r="M913" s="36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  <c r="AA913" s="35"/>
      <c r="AB913" s="35"/>
      <c r="AC913" s="35"/>
    </row>
    <row r="914" spans="1:29" ht="16.5" hidden="1">
      <c r="A914" s="124" t="s">
        <v>277</v>
      </c>
      <c r="B914" s="103">
        <v>841</v>
      </c>
      <c r="C914" s="87" t="s">
        <v>40</v>
      </c>
      <c r="D914" s="87" t="s">
        <v>40</v>
      </c>
      <c r="E914" s="87" t="s">
        <v>381</v>
      </c>
      <c r="F914" s="87"/>
      <c r="G914" s="88">
        <f>G915</f>
        <v>0</v>
      </c>
      <c r="H914" s="88">
        <f t="shared" si="102"/>
        <v>0</v>
      </c>
      <c r="I914" s="88">
        <f t="shared" si="102"/>
        <v>0</v>
      </c>
      <c r="J914" s="42"/>
      <c r="K914" s="35"/>
      <c r="L914" s="35"/>
      <c r="M914" s="36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C914" s="35"/>
    </row>
    <row r="915" spans="1:29" ht="33" hidden="1">
      <c r="A915" s="125" t="s">
        <v>521</v>
      </c>
      <c r="B915" s="103">
        <v>841</v>
      </c>
      <c r="C915" s="87" t="s">
        <v>40</v>
      </c>
      <c r="D915" s="87" t="s">
        <v>40</v>
      </c>
      <c r="E915" s="87" t="s">
        <v>77</v>
      </c>
      <c r="F915" s="87"/>
      <c r="G915" s="88">
        <f>G916</f>
        <v>0</v>
      </c>
      <c r="H915" s="88">
        <f t="shared" si="102"/>
        <v>0</v>
      </c>
      <c r="I915" s="88">
        <f t="shared" si="102"/>
        <v>0</v>
      </c>
      <c r="J915" s="42"/>
      <c r="K915" s="35"/>
      <c r="L915" s="35"/>
      <c r="M915" s="36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  <c r="AC915" s="35"/>
    </row>
    <row r="916" spans="1:29" ht="33" hidden="1">
      <c r="A916" s="132" t="s">
        <v>467</v>
      </c>
      <c r="B916" s="103">
        <v>841</v>
      </c>
      <c r="C916" s="87" t="s">
        <v>40</v>
      </c>
      <c r="D916" s="87" t="s">
        <v>40</v>
      </c>
      <c r="E916" s="87" t="s">
        <v>77</v>
      </c>
      <c r="F916" s="87" t="s">
        <v>257</v>
      </c>
      <c r="G916" s="88"/>
      <c r="H916" s="88"/>
      <c r="I916" s="88"/>
      <c r="J916" s="42"/>
      <c r="K916" s="35"/>
      <c r="L916" s="35"/>
      <c r="M916" s="36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  <c r="AC916" s="35"/>
    </row>
    <row r="917" spans="1:29" s="48" customFormat="1" ht="16.5">
      <c r="A917" s="133" t="s">
        <v>95</v>
      </c>
      <c r="B917" s="103">
        <v>841</v>
      </c>
      <c r="C917" s="87"/>
      <c r="D917" s="87"/>
      <c r="E917" s="87"/>
      <c r="F917" s="87"/>
      <c r="G917" s="88">
        <f>G924+G986+G1004+G1016+G980+G918</f>
        <v>720833.1000000001</v>
      </c>
      <c r="H917" s="88">
        <f>H924+H986+H1004+H1016+H980+H918</f>
        <v>416152.8</v>
      </c>
      <c r="I917" s="88">
        <f>I924+I986+I1004+I1016+I980+I918</f>
        <v>0</v>
      </c>
      <c r="J917" s="42"/>
      <c r="K917" s="35"/>
      <c r="L917" s="35"/>
      <c r="M917" s="36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  <c r="AA917" s="35"/>
      <c r="AB917" s="35"/>
      <c r="AC917" s="35"/>
    </row>
    <row r="918" spans="1:13" s="35" customFormat="1" ht="16.5" hidden="1">
      <c r="A918" s="124" t="s">
        <v>418</v>
      </c>
      <c r="B918" s="103">
        <v>841</v>
      </c>
      <c r="C918" s="87" t="s">
        <v>793</v>
      </c>
      <c r="D918" s="87"/>
      <c r="E918" s="87"/>
      <c r="F918" s="87"/>
      <c r="G918" s="88">
        <f aca="true" t="shared" si="103" ref="G918:I922">G919</f>
        <v>12000</v>
      </c>
      <c r="H918" s="88">
        <f t="shared" si="103"/>
        <v>0</v>
      </c>
      <c r="I918" s="88">
        <f t="shared" si="103"/>
        <v>0</v>
      </c>
      <c r="J918" s="42"/>
      <c r="M918" s="36"/>
    </row>
    <row r="919" spans="1:13" s="35" customFormat="1" ht="16.5" hidden="1">
      <c r="A919" s="131" t="s">
        <v>345</v>
      </c>
      <c r="B919" s="103">
        <v>841</v>
      </c>
      <c r="C919" s="87" t="s">
        <v>793</v>
      </c>
      <c r="D919" s="87" t="s">
        <v>509</v>
      </c>
      <c r="E919" s="87"/>
      <c r="F919" s="87"/>
      <c r="G919" s="88">
        <f t="shared" si="103"/>
        <v>12000</v>
      </c>
      <c r="H919" s="88">
        <f t="shared" si="103"/>
        <v>0</v>
      </c>
      <c r="I919" s="88">
        <f t="shared" si="103"/>
        <v>0</v>
      </c>
      <c r="J919" s="42"/>
      <c r="M919" s="36"/>
    </row>
    <row r="920" spans="1:13" s="35" customFormat="1" ht="33" hidden="1">
      <c r="A920" s="125" t="s">
        <v>185</v>
      </c>
      <c r="B920" s="103">
        <v>841</v>
      </c>
      <c r="C920" s="87" t="s">
        <v>793</v>
      </c>
      <c r="D920" s="87" t="s">
        <v>509</v>
      </c>
      <c r="E920" s="87" t="s">
        <v>392</v>
      </c>
      <c r="F920" s="87"/>
      <c r="G920" s="88">
        <f t="shared" si="103"/>
        <v>12000</v>
      </c>
      <c r="H920" s="88">
        <f t="shared" si="103"/>
        <v>0</v>
      </c>
      <c r="I920" s="88">
        <f t="shared" si="103"/>
        <v>0</v>
      </c>
      <c r="J920" s="42"/>
      <c r="M920" s="36"/>
    </row>
    <row r="921" spans="1:13" s="35" customFormat="1" ht="16.5" hidden="1">
      <c r="A921" s="125" t="s">
        <v>774</v>
      </c>
      <c r="B921" s="103">
        <v>841</v>
      </c>
      <c r="C921" s="87" t="s">
        <v>793</v>
      </c>
      <c r="D921" s="87" t="s">
        <v>509</v>
      </c>
      <c r="E921" s="87" t="s">
        <v>800</v>
      </c>
      <c r="F921" s="87"/>
      <c r="G921" s="88">
        <f t="shared" si="103"/>
        <v>12000</v>
      </c>
      <c r="H921" s="88">
        <f t="shared" si="103"/>
        <v>0</v>
      </c>
      <c r="I921" s="88">
        <f t="shared" si="103"/>
        <v>0</v>
      </c>
      <c r="J921" s="42"/>
      <c r="M921" s="36"/>
    </row>
    <row r="922" spans="1:13" s="35" customFormat="1" ht="16.5" hidden="1">
      <c r="A922" s="125" t="s">
        <v>263</v>
      </c>
      <c r="B922" s="103">
        <v>841</v>
      </c>
      <c r="C922" s="87" t="s">
        <v>793</v>
      </c>
      <c r="D922" s="87" t="s">
        <v>509</v>
      </c>
      <c r="E922" s="87" t="s">
        <v>803</v>
      </c>
      <c r="F922" s="87"/>
      <c r="G922" s="88">
        <f t="shared" si="103"/>
        <v>12000</v>
      </c>
      <c r="H922" s="88">
        <f t="shared" si="103"/>
        <v>0</v>
      </c>
      <c r="I922" s="88">
        <f t="shared" si="103"/>
        <v>0</v>
      </c>
      <c r="J922" s="42"/>
      <c r="M922" s="36"/>
    </row>
    <row r="923" spans="1:13" s="35" customFormat="1" ht="16.5" hidden="1">
      <c r="A923" s="132" t="s">
        <v>189</v>
      </c>
      <c r="B923" s="103">
        <v>841</v>
      </c>
      <c r="C923" s="87" t="s">
        <v>793</v>
      </c>
      <c r="D923" s="87" t="s">
        <v>509</v>
      </c>
      <c r="E923" s="87" t="s">
        <v>803</v>
      </c>
      <c r="F923" s="87" t="s">
        <v>827</v>
      </c>
      <c r="G923" s="88">
        <f>10000+2000</f>
        <v>12000</v>
      </c>
      <c r="H923" s="88"/>
      <c r="I923" s="88"/>
      <c r="J923" s="42"/>
      <c r="M923" s="36"/>
    </row>
    <row r="924" spans="1:29" s="49" customFormat="1" ht="18.75" customHeight="1">
      <c r="A924" s="125" t="s">
        <v>390</v>
      </c>
      <c r="B924" s="103">
        <v>841</v>
      </c>
      <c r="C924" s="87" t="s">
        <v>801</v>
      </c>
      <c r="D924" s="87"/>
      <c r="E924" s="87"/>
      <c r="F924" s="87"/>
      <c r="G924" s="88">
        <f>G925+G938+G956</f>
        <v>595362.3</v>
      </c>
      <c r="H924" s="88">
        <f>H925+H938+H956</f>
        <v>416152.8</v>
      </c>
      <c r="I924" s="88">
        <f>I925+I938+I956</f>
        <v>0</v>
      </c>
      <c r="J924" s="42"/>
      <c r="K924" s="35"/>
      <c r="L924" s="35"/>
      <c r="M924" s="36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  <c r="AA924" s="35"/>
      <c r="AB924" s="35"/>
      <c r="AC924" s="35"/>
    </row>
    <row r="925" spans="1:29" ht="18" customHeight="1" hidden="1">
      <c r="A925" s="131" t="s">
        <v>47</v>
      </c>
      <c r="B925" s="103">
        <v>841</v>
      </c>
      <c r="C925" s="87" t="s">
        <v>42</v>
      </c>
      <c r="D925" s="87" t="s">
        <v>790</v>
      </c>
      <c r="E925" s="87"/>
      <c r="F925" s="87"/>
      <c r="G925" s="88">
        <f>SUM(G926)</f>
        <v>0</v>
      </c>
      <c r="H925" s="88">
        <f>SUM(H926)</f>
        <v>0</v>
      </c>
      <c r="I925" s="88">
        <f>SUM(I926)</f>
        <v>0</v>
      </c>
      <c r="J925" s="42"/>
      <c r="K925" s="35"/>
      <c r="L925" s="35"/>
      <c r="M925" s="36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  <c r="AA925" s="35"/>
      <c r="AB925" s="35"/>
      <c r="AC925" s="35"/>
    </row>
    <row r="926" spans="1:29" ht="18" customHeight="1" hidden="1">
      <c r="A926" s="125" t="s">
        <v>185</v>
      </c>
      <c r="B926" s="103">
        <v>841</v>
      </c>
      <c r="C926" s="87" t="s">
        <v>42</v>
      </c>
      <c r="D926" s="87" t="s">
        <v>790</v>
      </c>
      <c r="E926" s="87" t="s">
        <v>392</v>
      </c>
      <c r="F926" s="87"/>
      <c r="G926" s="88">
        <f>SUM(G931,G927)</f>
        <v>0</v>
      </c>
      <c r="H926" s="88">
        <f>SUM(H931,H927)</f>
        <v>0</v>
      </c>
      <c r="I926" s="88">
        <f>SUM(I931,I927)</f>
        <v>0</v>
      </c>
      <c r="J926" s="42"/>
      <c r="K926" s="35"/>
      <c r="L926" s="35"/>
      <c r="M926" s="36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  <c r="AC926" s="35"/>
    </row>
    <row r="927" spans="1:29" ht="55.5" customHeight="1" hidden="1">
      <c r="A927" s="125" t="s">
        <v>57</v>
      </c>
      <c r="B927" s="103">
        <v>841</v>
      </c>
      <c r="C927" s="87" t="s">
        <v>42</v>
      </c>
      <c r="D927" s="87" t="s">
        <v>790</v>
      </c>
      <c r="E927" s="87" t="s">
        <v>54</v>
      </c>
      <c r="F927" s="87"/>
      <c r="G927" s="88">
        <f>G928</f>
        <v>0</v>
      </c>
      <c r="H927" s="88">
        <f>H928</f>
        <v>0</v>
      </c>
      <c r="I927" s="88">
        <f>I928</f>
        <v>0</v>
      </c>
      <c r="J927" s="42"/>
      <c r="K927" s="35"/>
      <c r="L927" s="35"/>
      <c r="M927" s="36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  <c r="AA927" s="35"/>
      <c r="AB927" s="35"/>
      <c r="AC927" s="35"/>
    </row>
    <row r="928" spans="1:29" ht="35.25" customHeight="1" hidden="1">
      <c r="A928" s="125" t="s">
        <v>188</v>
      </c>
      <c r="B928" s="103">
        <v>841</v>
      </c>
      <c r="C928" s="87" t="s">
        <v>42</v>
      </c>
      <c r="D928" s="87" t="s">
        <v>790</v>
      </c>
      <c r="E928" s="87" t="s">
        <v>394</v>
      </c>
      <c r="F928" s="87"/>
      <c r="G928" s="88">
        <f>SUM(G929:G930)</f>
        <v>0</v>
      </c>
      <c r="H928" s="88">
        <f>SUM(H929:H930)</f>
        <v>0</v>
      </c>
      <c r="I928" s="88">
        <f>SUM(I929:I930)</f>
        <v>0</v>
      </c>
      <c r="J928" s="42"/>
      <c r="K928" s="35"/>
      <c r="L928" s="35"/>
      <c r="M928" s="36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  <c r="AA928" s="35"/>
      <c r="AB928" s="35"/>
      <c r="AC928" s="35"/>
    </row>
    <row r="929" spans="1:29" ht="21" customHeight="1" hidden="1">
      <c r="A929" s="125" t="s">
        <v>243</v>
      </c>
      <c r="B929" s="103">
        <v>841</v>
      </c>
      <c r="C929" s="87" t="s">
        <v>42</v>
      </c>
      <c r="D929" s="87" t="s">
        <v>790</v>
      </c>
      <c r="E929" s="87" t="s">
        <v>394</v>
      </c>
      <c r="F929" s="87" t="s">
        <v>59</v>
      </c>
      <c r="G929" s="88"/>
      <c r="H929" s="88"/>
      <c r="I929" s="88"/>
      <c r="J929" s="42"/>
      <c r="K929" s="35"/>
      <c r="L929" s="35"/>
      <c r="M929" s="36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  <c r="AA929" s="35"/>
      <c r="AB929" s="35"/>
      <c r="AC929" s="35"/>
    </row>
    <row r="930" spans="1:29" ht="18.75" customHeight="1" hidden="1">
      <c r="A930" s="125" t="s">
        <v>329</v>
      </c>
      <c r="B930" s="103">
        <v>841</v>
      </c>
      <c r="C930" s="87" t="s">
        <v>42</v>
      </c>
      <c r="D930" s="87" t="s">
        <v>790</v>
      </c>
      <c r="E930" s="87" t="s">
        <v>394</v>
      </c>
      <c r="F930" s="87" t="s">
        <v>61</v>
      </c>
      <c r="G930" s="88"/>
      <c r="H930" s="88"/>
      <c r="I930" s="88"/>
      <c r="J930" s="42"/>
      <c r="K930" s="35"/>
      <c r="L930" s="35"/>
      <c r="M930" s="36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  <c r="AA930" s="35"/>
      <c r="AB930" s="35"/>
      <c r="AC930" s="35"/>
    </row>
    <row r="931" spans="1:29" ht="18" customHeight="1" hidden="1">
      <c r="A931" s="125" t="s">
        <v>774</v>
      </c>
      <c r="B931" s="103">
        <v>841</v>
      </c>
      <c r="C931" s="87" t="s">
        <v>42</v>
      </c>
      <c r="D931" s="87" t="s">
        <v>790</v>
      </c>
      <c r="E931" s="87" t="s">
        <v>800</v>
      </c>
      <c r="F931" s="87"/>
      <c r="G931" s="88">
        <f aca="true" t="shared" si="104" ref="G931:I932">SUM(G932)</f>
        <v>0</v>
      </c>
      <c r="H931" s="88">
        <f t="shared" si="104"/>
        <v>0</v>
      </c>
      <c r="I931" s="88">
        <f t="shared" si="104"/>
        <v>0</v>
      </c>
      <c r="J931" s="42"/>
      <c r="K931" s="35"/>
      <c r="L931" s="35"/>
      <c r="M931" s="36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  <c r="AA931" s="35"/>
      <c r="AB931" s="35"/>
      <c r="AC931" s="35"/>
    </row>
    <row r="932" spans="1:29" ht="18.75" customHeight="1" hidden="1">
      <c r="A932" s="125" t="s">
        <v>244</v>
      </c>
      <c r="B932" s="103">
        <v>841</v>
      </c>
      <c r="C932" s="87" t="s">
        <v>42</v>
      </c>
      <c r="D932" s="87" t="s">
        <v>790</v>
      </c>
      <c r="E932" s="87" t="s">
        <v>802</v>
      </c>
      <c r="F932" s="87"/>
      <c r="G932" s="88">
        <f t="shared" si="104"/>
        <v>0</v>
      </c>
      <c r="H932" s="88">
        <f t="shared" si="104"/>
        <v>0</v>
      </c>
      <c r="I932" s="88">
        <f t="shared" si="104"/>
        <v>0</v>
      </c>
      <c r="J932" s="42"/>
      <c r="K932" s="35"/>
      <c r="L932" s="35"/>
      <c r="M932" s="36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  <c r="AA932" s="35"/>
      <c r="AB932" s="35"/>
      <c r="AC932" s="35"/>
    </row>
    <row r="933" spans="1:29" ht="16.5" hidden="1">
      <c r="A933" s="132" t="s">
        <v>189</v>
      </c>
      <c r="B933" s="103">
        <v>841</v>
      </c>
      <c r="C933" s="87" t="s">
        <v>42</v>
      </c>
      <c r="D933" s="87" t="s">
        <v>790</v>
      </c>
      <c r="E933" s="87" t="s">
        <v>802</v>
      </c>
      <c r="F933" s="87" t="s">
        <v>827</v>
      </c>
      <c r="G933" s="88"/>
      <c r="H933" s="88"/>
      <c r="I933" s="88"/>
      <c r="J933" s="42"/>
      <c r="K933" s="35"/>
      <c r="L933" s="35"/>
      <c r="M933" s="36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  <c r="AA933" s="35"/>
      <c r="AB933" s="35"/>
      <c r="AC933" s="35"/>
    </row>
    <row r="934" spans="1:29" ht="16.5" hidden="1">
      <c r="A934" s="132" t="s">
        <v>152</v>
      </c>
      <c r="B934" s="103">
        <v>841</v>
      </c>
      <c r="C934" s="87" t="s">
        <v>42</v>
      </c>
      <c r="D934" s="87" t="s">
        <v>790</v>
      </c>
      <c r="E934" s="87"/>
      <c r="F934" s="87"/>
      <c r="G934" s="88">
        <f aca="true" t="shared" si="105" ref="G934:I935">SUM(G935)</f>
        <v>0</v>
      </c>
      <c r="H934" s="88">
        <f t="shared" si="105"/>
        <v>0</v>
      </c>
      <c r="I934" s="88">
        <f t="shared" si="105"/>
        <v>0</v>
      </c>
      <c r="J934" s="42"/>
      <c r="K934" s="35"/>
      <c r="L934" s="35"/>
      <c r="M934" s="36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  <c r="AC934" s="35"/>
    </row>
    <row r="935" spans="1:29" ht="33" hidden="1">
      <c r="A935" s="125" t="s">
        <v>185</v>
      </c>
      <c r="B935" s="103">
        <v>841</v>
      </c>
      <c r="C935" s="87" t="s">
        <v>42</v>
      </c>
      <c r="D935" s="87" t="s">
        <v>790</v>
      </c>
      <c r="E935" s="87" t="s">
        <v>392</v>
      </c>
      <c r="F935" s="87"/>
      <c r="G935" s="88">
        <f t="shared" si="105"/>
        <v>0</v>
      </c>
      <c r="H935" s="88">
        <f t="shared" si="105"/>
        <v>0</v>
      </c>
      <c r="I935" s="88">
        <f t="shared" si="105"/>
        <v>0</v>
      </c>
      <c r="J935" s="42"/>
      <c r="K935" s="35"/>
      <c r="L935" s="35"/>
      <c r="M935" s="36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  <c r="AC935" s="35"/>
    </row>
    <row r="936" spans="1:29" ht="16.5" hidden="1">
      <c r="A936" s="125" t="s">
        <v>752</v>
      </c>
      <c r="B936" s="103">
        <v>841</v>
      </c>
      <c r="C936" s="87" t="s">
        <v>42</v>
      </c>
      <c r="D936" s="87" t="s">
        <v>790</v>
      </c>
      <c r="E936" s="87" t="s">
        <v>800</v>
      </c>
      <c r="F936" s="87"/>
      <c r="G936" s="88">
        <f>G937</f>
        <v>0</v>
      </c>
      <c r="H936" s="88">
        <f>H937</f>
        <v>0</v>
      </c>
      <c r="I936" s="88">
        <f>I937</f>
        <v>0</v>
      </c>
      <c r="J936" s="42"/>
      <c r="K936" s="35"/>
      <c r="L936" s="35"/>
      <c r="M936" s="36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  <c r="AC936" s="35"/>
    </row>
    <row r="937" spans="1:29" ht="16.5" hidden="1">
      <c r="A937" s="125" t="s">
        <v>263</v>
      </c>
      <c r="B937" s="103">
        <v>841</v>
      </c>
      <c r="C937" s="87" t="s">
        <v>42</v>
      </c>
      <c r="D937" s="87" t="s">
        <v>790</v>
      </c>
      <c r="E937" s="87" t="s">
        <v>803</v>
      </c>
      <c r="F937" s="87" t="s">
        <v>827</v>
      </c>
      <c r="G937" s="88"/>
      <c r="H937" s="88"/>
      <c r="I937" s="88"/>
      <c r="J937" s="42"/>
      <c r="K937" s="35"/>
      <c r="L937" s="35"/>
      <c r="M937" s="36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  <c r="AA937" s="35"/>
      <c r="AB937" s="35"/>
      <c r="AC937" s="35"/>
    </row>
    <row r="938" spans="1:29" ht="18.75" customHeight="1" hidden="1">
      <c r="A938" s="132" t="s">
        <v>112</v>
      </c>
      <c r="B938" s="103">
        <v>841</v>
      </c>
      <c r="C938" s="87" t="s">
        <v>42</v>
      </c>
      <c r="D938" s="87" t="s">
        <v>791</v>
      </c>
      <c r="E938" s="87"/>
      <c r="F938" s="87"/>
      <c r="G938" s="88">
        <f>SUM(G939)</f>
        <v>30000</v>
      </c>
      <c r="H938" s="88">
        <f>SUM(H939)</f>
        <v>0</v>
      </c>
      <c r="I938" s="88">
        <f>SUM(I939)</f>
        <v>0</v>
      </c>
      <c r="J938" s="42"/>
      <c r="K938" s="35"/>
      <c r="L938" s="35"/>
      <c r="M938" s="36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  <c r="AA938" s="35"/>
      <c r="AB938" s="35"/>
      <c r="AC938" s="35"/>
    </row>
    <row r="939" spans="1:29" ht="19.5" customHeight="1" hidden="1">
      <c r="A939" s="125" t="s">
        <v>185</v>
      </c>
      <c r="B939" s="103">
        <v>841</v>
      </c>
      <c r="C939" s="87" t="s">
        <v>42</v>
      </c>
      <c r="D939" s="87" t="s">
        <v>791</v>
      </c>
      <c r="E939" s="87" t="s">
        <v>392</v>
      </c>
      <c r="F939" s="87"/>
      <c r="G939" s="88">
        <f>SUM(G943,G940)</f>
        <v>30000</v>
      </c>
      <c r="H939" s="88">
        <f>SUM(H943,H940)</f>
        <v>0</v>
      </c>
      <c r="I939" s="88">
        <f>SUM(I943,I940)</f>
        <v>0</v>
      </c>
      <c r="J939" s="42"/>
      <c r="K939" s="35"/>
      <c r="L939" s="35"/>
      <c r="M939" s="36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  <c r="AA939" s="35"/>
      <c r="AB939" s="35"/>
      <c r="AC939" s="35"/>
    </row>
    <row r="940" spans="1:29" ht="51" customHeight="1" hidden="1">
      <c r="A940" s="125" t="s">
        <v>57</v>
      </c>
      <c r="B940" s="103">
        <v>841</v>
      </c>
      <c r="C940" s="87" t="s">
        <v>42</v>
      </c>
      <c r="D940" s="87" t="s">
        <v>791</v>
      </c>
      <c r="E940" s="87" t="s">
        <v>54</v>
      </c>
      <c r="F940" s="87"/>
      <c r="G940" s="88">
        <f aca="true" t="shared" si="106" ref="G940:I941">SUM(G941)</f>
        <v>0</v>
      </c>
      <c r="H940" s="88">
        <f t="shared" si="106"/>
        <v>0</v>
      </c>
      <c r="I940" s="88">
        <f t="shared" si="106"/>
        <v>0</v>
      </c>
      <c r="J940" s="42"/>
      <c r="K940" s="35"/>
      <c r="L940" s="35"/>
      <c r="M940" s="36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  <c r="AA940" s="35"/>
      <c r="AB940" s="35"/>
      <c r="AC940" s="35"/>
    </row>
    <row r="941" spans="1:29" ht="36.75" customHeight="1" hidden="1">
      <c r="A941" s="125" t="s">
        <v>393</v>
      </c>
      <c r="B941" s="103">
        <v>841</v>
      </c>
      <c r="C941" s="87" t="s">
        <v>42</v>
      </c>
      <c r="D941" s="87" t="s">
        <v>791</v>
      </c>
      <c r="E941" s="87" t="s">
        <v>394</v>
      </c>
      <c r="F941" s="87"/>
      <c r="G941" s="88">
        <f t="shared" si="106"/>
        <v>0</v>
      </c>
      <c r="H941" s="88">
        <f t="shared" si="106"/>
        <v>0</v>
      </c>
      <c r="I941" s="88">
        <f t="shared" si="106"/>
        <v>0</v>
      </c>
      <c r="J941" s="42"/>
      <c r="K941" s="35"/>
      <c r="L941" s="35"/>
      <c r="M941" s="36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  <c r="AA941" s="35"/>
      <c r="AB941" s="35"/>
      <c r="AC941" s="35"/>
    </row>
    <row r="942" spans="1:29" ht="19.5" customHeight="1" hidden="1">
      <c r="A942" s="132" t="s">
        <v>574</v>
      </c>
      <c r="B942" s="103">
        <v>841</v>
      </c>
      <c r="C942" s="87" t="s">
        <v>42</v>
      </c>
      <c r="D942" s="87" t="s">
        <v>791</v>
      </c>
      <c r="E942" s="112" t="s">
        <v>62</v>
      </c>
      <c r="F942" s="87" t="s">
        <v>63</v>
      </c>
      <c r="G942" s="88"/>
      <c r="H942" s="88"/>
      <c r="I942" s="88"/>
      <c r="J942" s="42"/>
      <c r="K942" s="35"/>
      <c r="L942" s="35"/>
      <c r="M942" s="36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  <c r="AA942" s="35"/>
      <c r="AB942" s="35"/>
      <c r="AC942" s="35"/>
    </row>
    <row r="943" spans="1:29" ht="18.75" customHeight="1" hidden="1">
      <c r="A943" s="125" t="s">
        <v>774</v>
      </c>
      <c r="B943" s="103">
        <v>841</v>
      </c>
      <c r="C943" s="87" t="s">
        <v>42</v>
      </c>
      <c r="D943" s="87" t="s">
        <v>791</v>
      </c>
      <c r="E943" s="87" t="s">
        <v>800</v>
      </c>
      <c r="F943" s="87"/>
      <c r="G943" s="88">
        <f>SUM(G944,G946,G950,G952,G948)</f>
        <v>30000</v>
      </c>
      <c r="H943" s="88">
        <f>SUM(H944,H946,H950,H952,H948)</f>
        <v>0</v>
      </c>
      <c r="I943" s="88">
        <f>SUM(I944,I946,I950,I952,I948)</f>
        <v>0</v>
      </c>
      <c r="J943" s="42"/>
      <c r="K943" s="35"/>
      <c r="L943" s="35"/>
      <c r="M943" s="36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  <c r="AA943" s="35"/>
      <c r="AB943" s="35"/>
      <c r="AC943" s="35"/>
    </row>
    <row r="944" spans="1:29" ht="18" customHeight="1" hidden="1">
      <c r="A944" s="125" t="s">
        <v>263</v>
      </c>
      <c r="B944" s="103">
        <v>841</v>
      </c>
      <c r="C944" s="87" t="s">
        <v>42</v>
      </c>
      <c r="D944" s="87" t="s">
        <v>791</v>
      </c>
      <c r="E944" s="87" t="s">
        <v>803</v>
      </c>
      <c r="F944" s="87"/>
      <c r="G944" s="88">
        <f>SUM(G945)</f>
        <v>10000</v>
      </c>
      <c r="H944" s="88">
        <f>SUM(H945)</f>
        <v>0</v>
      </c>
      <c r="I944" s="88">
        <f>SUM(I945)</f>
        <v>0</v>
      </c>
      <c r="J944" s="42"/>
      <c r="K944" s="35"/>
      <c r="L944" s="35"/>
      <c r="M944" s="36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  <c r="AC944" s="35"/>
    </row>
    <row r="945" spans="1:29" ht="16.5" hidden="1">
      <c r="A945" s="132" t="s">
        <v>189</v>
      </c>
      <c r="B945" s="103">
        <v>841</v>
      </c>
      <c r="C945" s="87" t="s">
        <v>42</v>
      </c>
      <c r="D945" s="87" t="s">
        <v>791</v>
      </c>
      <c r="E945" s="87" t="s">
        <v>803</v>
      </c>
      <c r="F945" s="87" t="s">
        <v>827</v>
      </c>
      <c r="G945" s="88">
        <f>4500+5000+500</f>
        <v>10000</v>
      </c>
      <c r="H945" s="88"/>
      <c r="I945" s="88"/>
      <c r="J945" s="42"/>
      <c r="K945" s="35"/>
      <c r="L945" s="35"/>
      <c r="M945" s="36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  <c r="AC945" s="35"/>
    </row>
    <row r="946" spans="1:29" ht="18" customHeight="1" hidden="1">
      <c r="A946" s="132" t="s">
        <v>754</v>
      </c>
      <c r="B946" s="103">
        <v>841</v>
      </c>
      <c r="C946" s="87" t="s">
        <v>42</v>
      </c>
      <c r="D946" s="87" t="s">
        <v>219</v>
      </c>
      <c r="E946" s="87" t="s">
        <v>804</v>
      </c>
      <c r="F946" s="87"/>
      <c r="G946" s="88">
        <f>SUM(G947)</f>
        <v>0</v>
      </c>
      <c r="H946" s="88">
        <f>SUM(H947)</f>
        <v>0</v>
      </c>
      <c r="I946" s="88">
        <f>SUM(I947)</f>
        <v>0</v>
      </c>
      <c r="J946" s="42"/>
      <c r="K946" s="35"/>
      <c r="L946" s="35"/>
      <c r="M946" s="36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  <c r="AC946" s="35"/>
    </row>
    <row r="947" spans="1:29" ht="18.75" customHeight="1" hidden="1">
      <c r="A947" s="132" t="s">
        <v>189</v>
      </c>
      <c r="B947" s="103">
        <v>841</v>
      </c>
      <c r="C947" s="87" t="s">
        <v>42</v>
      </c>
      <c r="D947" s="87" t="s">
        <v>791</v>
      </c>
      <c r="E947" s="87" t="s">
        <v>804</v>
      </c>
      <c r="F947" s="87" t="s">
        <v>827</v>
      </c>
      <c r="G947" s="88"/>
      <c r="H947" s="88"/>
      <c r="I947" s="88"/>
      <c r="J947" s="42"/>
      <c r="K947" s="35"/>
      <c r="L947" s="35"/>
      <c r="M947" s="36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  <c r="AA947" s="35"/>
      <c r="AB947" s="35"/>
      <c r="AC947" s="35"/>
    </row>
    <row r="948" spans="1:29" ht="18.75" customHeight="1" hidden="1">
      <c r="A948" s="132" t="s">
        <v>754</v>
      </c>
      <c r="B948" s="103">
        <v>841</v>
      </c>
      <c r="C948" s="87" t="s">
        <v>42</v>
      </c>
      <c r="D948" s="87" t="s">
        <v>791</v>
      </c>
      <c r="E948" s="87" t="s">
        <v>804</v>
      </c>
      <c r="F948" s="87"/>
      <c r="G948" s="88">
        <f>G949</f>
        <v>0</v>
      </c>
      <c r="H948" s="88">
        <f>H949</f>
        <v>0</v>
      </c>
      <c r="I948" s="88">
        <f>I949</f>
        <v>0</v>
      </c>
      <c r="J948" s="42"/>
      <c r="K948" s="35"/>
      <c r="L948" s="35"/>
      <c r="M948" s="36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  <c r="AA948" s="35"/>
      <c r="AB948" s="35"/>
      <c r="AC948" s="35"/>
    </row>
    <row r="949" spans="1:29" ht="18.75" customHeight="1" hidden="1">
      <c r="A949" s="132" t="s">
        <v>189</v>
      </c>
      <c r="B949" s="103">
        <v>841</v>
      </c>
      <c r="C949" s="87" t="s">
        <v>42</v>
      </c>
      <c r="D949" s="87" t="s">
        <v>791</v>
      </c>
      <c r="E949" s="87" t="s">
        <v>804</v>
      </c>
      <c r="F949" s="87" t="s">
        <v>827</v>
      </c>
      <c r="G949" s="88"/>
      <c r="H949" s="88"/>
      <c r="I949" s="88"/>
      <c r="J949" s="42"/>
      <c r="K949" s="35"/>
      <c r="L949" s="35"/>
      <c r="M949" s="36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  <c r="AA949" s="35"/>
      <c r="AB949" s="35"/>
      <c r="AC949" s="35"/>
    </row>
    <row r="950" spans="1:29" ht="17.25" customHeight="1" hidden="1">
      <c r="A950" s="132" t="s">
        <v>289</v>
      </c>
      <c r="B950" s="103">
        <v>841</v>
      </c>
      <c r="C950" s="87" t="s">
        <v>42</v>
      </c>
      <c r="D950" s="87" t="s">
        <v>791</v>
      </c>
      <c r="E950" s="87" t="s">
        <v>245</v>
      </c>
      <c r="F950" s="87"/>
      <c r="G950" s="88">
        <f>SUM(G951)</f>
        <v>0</v>
      </c>
      <c r="H950" s="88">
        <f>SUM(H951)</f>
        <v>0</v>
      </c>
      <c r="I950" s="88">
        <f>SUM(I951)</f>
        <v>0</v>
      </c>
      <c r="J950" s="42"/>
      <c r="K950" s="35"/>
      <c r="L950" s="35"/>
      <c r="M950" s="36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  <c r="AA950" s="35"/>
      <c r="AB950" s="35"/>
      <c r="AC950" s="35"/>
    </row>
    <row r="951" spans="1:29" ht="16.5" customHeight="1" hidden="1">
      <c r="A951" s="132" t="s">
        <v>189</v>
      </c>
      <c r="B951" s="103">
        <v>841</v>
      </c>
      <c r="C951" s="87" t="s">
        <v>42</v>
      </c>
      <c r="D951" s="87" t="s">
        <v>791</v>
      </c>
      <c r="E951" s="87" t="s">
        <v>245</v>
      </c>
      <c r="F951" s="87" t="s">
        <v>827</v>
      </c>
      <c r="G951" s="88"/>
      <c r="H951" s="88"/>
      <c r="I951" s="88"/>
      <c r="J951" s="42"/>
      <c r="K951" s="35"/>
      <c r="L951" s="35"/>
      <c r="M951" s="36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  <c r="AA951" s="35"/>
      <c r="AB951" s="35"/>
      <c r="AC951" s="35"/>
    </row>
    <row r="952" spans="1:29" ht="19.5" customHeight="1" hidden="1">
      <c r="A952" s="132" t="s">
        <v>98</v>
      </c>
      <c r="B952" s="103">
        <v>841</v>
      </c>
      <c r="C952" s="87" t="s">
        <v>42</v>
      </c>
      <c r="D952" s="87" t="s">
        <v>791</v>
      </c>
      <c r="E952" s="87" t="s">
        <v>246</v>
      </c>
      <c r="F952" s="87"/>
      <c r="G952" s="88">
        <f>SUM(G953)</f>
        <v>20000</v>
      </c>
      <c r="H952" s="88">
        <f>SUM(H953)</f>
        <v>0</v>
      </c>
      <c r="I952" s="88">
        <f>SUM(I953)</f>
        <v>0</v>
      </c>
      <c r="J952" s="42"/>
      <c r="K952" s="35"/>
      <c r="L952" s="35"/>
      <c r="M952" s="36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  <c r="AA952" s="35"/>
      <c r="AB952" s="35"/>
      <c r="AC952" s="35"/>
    </row>
    <row r="953" spans="1:29" ht="16.5" customHeight="1" hidden="1">
      <c r="A953" s="132" t="s">
        <v>189</v>
      </c>
      <c r="B953" s="103">
        <v>841</v>
      </c>
      <c r="C953" s="87" t="s">
        <v>42</v>
      </c>
      <c r="D953" s="87" t="s">
        <v>791</v>
      </c>
      <c r="E953" s="87" t="s">
        <v>246</v>
      </c>
      <c r="F953" s="87" t="s">
        <v>827</v>
      </c>
      <c r="G953" s="88">
        <v>20000</v>
      </c>
      <c r="H953" s="88"/>
      <c r="I953" s="88"/>
      <c r="J953" s="42"/>
      <c r="K953" s="35"/>
      <c r="L953" s="35"/>
      <c r="M953" s="36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  <c r="AA953" s="35"/>
      <c r="AB953" s="35"/>
      <c r="AC953" s="35"/>
    </row>
    <row r="954" spans="1:29" ht="16.5" customHeight="1" hidden="1">
      <c r="A954" s="132" t="s">
        <v>290</v>
      </c>
      <c r="B954" s="103">
        <v>841</v>
      </c>
      <c r="C954" s="87" t="s">
        <v>42</v>
      </c>
      <c r="D954" s="87" t="s">
        <v>791</v>
      </c>
      <c r="E954" s="87" t="s">
        <v>291</v>
      </c>
      <c r="F954" s="87"/>
      <c r="G954" s="88"/>
      <c r="H954" s="88"/>
      <c r="I954" s="88"/>
      <c r="J954" s="42"/>
      <c r="K954" s="35"/>
      <c r="L954" s="35"/>
      <c r="M954" s="36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C954" s="35"/>
    </row>
    <row r="955" spans="1:29" ht="16.5" customHeight="1" hidden="1">
      <c r="A955" s="132" t="s">
        <v>189</v>
      </c>
      <c r="B955" s="103">
        <v>841</v>
      </c>
      <c r="C955" s="87" t="s">
        <v>42</v>
      </c>
      <c r="D955" s="87" t="s">
        <v>791</v>
      </c>
      <c r="E955" s="87" t="s">
        <v>291</v>
      </c>
      <c r="F955" s="87" t="s">
        <v>827</v>
      </c>
      <c r="G955" s="88"/>
      <c r="H955" s="88"/>
      <c r="I955" s="88"/>
      <c r="J955" s="42"/>
      <c r="K955" s="35"/>
      <c r="L955" s="35"/>
      <c r="M955" s="36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  <c r="AC955" s="35"/>
    </row>
    <row r="956" spans="1:29" ht="18" customHeight="1">
      <c r="A956" s="132" t="s">
        <v>111</v>
      </c>
      <c r="B956" s="103">
        <v>841</v>
      </c>
      <c r="C956" s="87" t="s">
        <v>42</v>
      </c>
      <c r="D956" s="87" t="s">
        <v>792</v>
      </c>
      <c r="E956" s="87"/>
      <c r="F956" s="87"/>
      <c r="G956" s="88">
        <f>SUM(G957,G977)</f>
        <v>565362.3</v>
      </c>
      <c r="H956" s="88">
        <f>SUM(H957,H977)</f>
        <v>416152.8</v>
      </c>
      <c r="I956" s="88">
        <f>SUM(I957,I977)</f>
        <v>0</v>
      </c>
      <c r="J956" s="42"/>
      <c r="K956" s="35"/>
      <c r="L956" s="35"/>
      <c r="M956" s="36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  <c r="AC956" s="35"/>
    </row>
    <row r="957" spans="1:29" ht="18" customHeight="1" hidden="1">
      <c r="A957" s="125" t="s">
        <v>805</v>
      </c>
      <c r="B957" s="103">
        <v>841</v>
      </c>
      <c r="C957" s="87" t="s">
        <v>42</v>
      </c>
      <c r="D957" s="87" t="s">
        <v>792</v>
      </c>
      <c r="E957" s="87" t="s">
        <v>392</v>
      </c>
      <c r="F957" s="87"/>
      <c r="G957" s="88">
        <f>G958+G964</f>
        <v>410638</v>
      </c>
      <c r="H957" s="88">
        <f>H958+H964</f>
        <v>0</v>
      </c>
      <c r="I957" s="88">
        <f>I958+I964</f>
        <v>0</v>
      </c>
      <c r="J957" s="42"/>
      <c r="K957" s="35"/>
      <c r="L957" s="35"/>
      <c r="M957" s="36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  <c r="AA957" s="35"/>
      <c r="AB957" s="35"/>
      <c r="AC957" s="35"/>
    </row>
    <row r="958" spans="1:29" ht="51.75" customHeight="1" hidden="1">
      <c r="A958" s="125" t="s">
        <v>57</v>
      </c>
      <c r="B958" s="103">
        <v>841</v>
      </c>
      <c r="C958" s="87" t="s">
        <v>42</v>
      </c>
      <c r="D958" s="87" t="s">
        <v>792</v>
      </c>
      <c r="E958" s="87" t="s">
        <v>54</v>
      </c>
      <c r="F958" s="87"/>
      <c r="G958" s="88">
        <f>SUM(G959)</f>
        <v>0</v>
      </c>
      <c r="H958" s="88">
        <f>SUM(H959)</f>
        <v>0</v>
      </c>
      <c r="I958" s="88">
        <f>SUM(I959)</f>
        <v>0</v>
      </c>
      <c r="J958" s="42"/>
      <c r="K958" s="35"/>
      <c r="L958" s="35"/>
      <c r="M958" s="36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  <c r="AC958" s="35"/>
    </row>
    <row r="959" spans="1:29" ht="35.25" customHeight="1" hidden="1">
      <c r="A959" s="125" t="s">
        <v>393</v>
      </c>
      <c r="B959" s="103">
        <v>841</v>
      </c>
      <c r="C959" s="87" t="s">
        <v>42</v>
      </c>
      <c r="D959" s="87" t="s">
        <v>792</v>
      </c>
      <c r="E959" s="87" t="s">
        <v>394</v>
      </c>
      <c r="F959" s="87"/>
      <c r="G959" s="88">
        <f>SUM(G960:G963)</f>
        <v>0</v>
      </c>
      <c r="H959" s="88">
        <f>SUM(H960:H963)</f>
        <v>0</v>
      </c>
      <c r="I959" s="88">
        <f>SUM(I960:I963)</f>
        <v>0</v>
      </c>
      <c r="J959" s="42"/>
      <c r="K959" s="35"/>
      <c r="L959" s="35"/>
      <c r="M959" s="36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  <c r="AC959" s="35"/>
    </row>
    <row r="960" spans="1:29" ht="33" hidden="1">
      <c r="A960" s="125" t="s">
        <v>761</v>
      </c>
      <c r="B960" s="103">
        <v>841</v>
      </c>
      <c r="C960" s="87" t="s">
        <v>42</v>
      </c>
      <c r="D960" s="87" t="s">
        <v>792</v>
      </c>
      <c r="E960" s="87" t="s">
        <v>394</v>
      </c>
      <c r="F960" s="87" t="s">
        <v>64</v>
      </c>
      <c r="G960" s="88"/>
      <c r="H960" s="88"/>
      <c r="I960" s="88"/>
      <c r="J960" s="42"/>
      <c r="K960" s="35"/>
      <c r="L960" s="35"/>
      <c r="M960" s="36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  <c r="AC960" s="35"/>
    </row>
    <row r="961" spans="1:29" ht="36.75" customHeight="1" hidden="1">
      <c r="A961" s="125" t="s">
        <v>223</v>
      </c>
      <c r="B961" s="103">
        <v>841</v>
      </c>
      <c r="C961" s="87" t="s">
        <v>42</v>
      </c>
      <c r="D961" s="87" t="s">
        <v>792</v>
      </c>
      <c r="E961" s="87" t="s">
        <v>394</v>
      </c>
      <c r="F961" s="87" t="s">
        <v>65</v>
      </c>
      <c r="G961" s="88"/>
      <c r="H961" s="88"/>
      <c r="I961" s="88"/>
      <c r="J961" s="42"/>
      <c r="K961" s="35"/>
      <c r="L961" s="35"/>
      <c r="M961" s="36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  <c r="AA961" s="35"/>
      <c r="AB961" s="35"/>
      <c r="AC961" s="35"/>
    </row>
    <row r="962" spans="1:29" ht="21.75" customHeight="1" hidden="1">
      <c r="A962" s="125" t="s">
        <v>762</v>
      </c>
      <c r="B962" s="103">
        <v>841</v>
      </c>
      <c r="C962" s="87" t="s">
        <v>42</v>
      </c>
      <c r="D962" s="87" t="s">
        <v>792</v>
      </c>
      <c r="E962" s="87" t="s">
        <v>394</v>
      </c>
      <c r="F962" s="87" t="s">
        <v>66</v>
      </c>
      <c r="G962" s="88"/>
      <c r="H962" s="88"/>
      <c r="I962" s="88"/>
      <c r="J962" s="42"/>
      <c r="K962" s="35"/>
      <c r="L962" s="35"/>
      <c r="M962" s="36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  <c r="AA962" s="35"/>
      <c r="AB962" s="35"/>
      <c r="AC962" s="35"/>
    </row>
    <row r="963" spans="1:29" ht="36.75" customHeight="1" hidden="1">
      <c r="A963" s="125" t="s">
        <v>287</v>
      </c>
      <c r="B963" s="103">
        <v>841</v>
      </c>
      <c r="C963" s="87" t="s">
        <v>42</v>
      </c>
      <c r="D963" s="87" t="s">
        <v>792</v>
      </c>
      <c r="E963" s="87" t="s">
        <v>394</v>
      </c>
      <c r="F963" s="87" t="s">
        <v>67</v>
      </c>
      <c r="G963" s="88"/>
      <c r="H963" s="88"/>
      <c r="I963" s="88"/>
      <c r="J963" s="42"/>
      <c r="K963" s="35"/>
      <c r="L963" s="35"/>
      <c r="M963" s="36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  <c r="AC963" s="35"/>
    </row>
    <row r="964" spans="1:29" ht="18" customHeight="1" hidden="1">
      <c r="A964" s="125" t="s">
        <v>774</v>
      </c>
      <c r="B964" s="103">
        <v>841</v>
      </c>
      <c r="C964" s="87" t="s">
        <v>42</v>
      </c>
      <c r="D964" s="87" t="s">
        <v>792</v>
      </c>
      <c r="E964" s="87" t="s">
        <v>800</v>
      </c>
      <c r="F964" s="87"/>
      <c r="G964" s="88">
        <f>G965+G967+G969+G971+G973+G975</f>
        <v>410638</v>
      </c>
      <c r="H964" s="88">
        <f>H965+H967+H969+H971+H973+H975</f>
        <v>0</v>
      </c>
      <c r="I964" s="88">
        <f>I965+I967+I969+I971+I973+I975</f>
        <v>0</v>
      </c>
      <c r="J964" s="42"/>
      <c r="K964" s="35"/>
      <c r="L964" s="35"/>
      <c r="M964" s="36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C964" s="35"/>
    </row>
    <row r="965" spans="1:29" ht="18" customHeight="1" hidden="1">
      <c r="A965" s="125" t="s">
        <v>263</v>
      </c>
      <c r="B965" s="103">
        <v>841</v>
      </c>
      <c r="C965" s="87" t="s">
        <v>42</v>
      </c>
      <c r="D965" s="87" t="s">
        <v>792</v>
      </c>
      <c r="E965" s="87" t="s">
        <v>803</v>
      </c>
      <c r="F965" s="87"/>
      <c r="G965" s="88">
        <f>SUM(G966)</f>
        <v>266651.3</v>
      </c>
      <c r="H965" s="88">
        <f>SUM(H966)</f>
        <v>0</v>
      </c>
      <c r="I965" s="88">
        <f>SUM(I966)</f>
        <v>0</v>
      </c>
      <c r="J965" s="42"/>
      <c r="K965" s="35"/>
      <c r="L965" s="35"/>
      <c r="M965" s="36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C965" s="35"/>
    </row>
    <row r="966" spans="1:29" ht="16.5" hidden="1">
      <c r="A966" s="132" t="s">
        <v>189</v>
      </c>
      <c r="B966" s="103">
        <v>841</v>
      </c>
      <c r="C966" s="87" t="s">
        <v>42</v>
      </c>
      <c r="D966" s="87" t="s">
        <v>792</v>
      </c>
      <c r="E966" s="87" t="s">
        <v>803</v>
      </c>
      <c r="F966" s="87" t="s">
        <v>827</v>
      </c>
      <c r="G966" s="88">
        <f>39703.3+99925+22000+50000+8000+10000+6200+11723+10000+1000+600+1200+220+446+800+2334+2500</f>
        <v>266651.3</v>
      </c>
      <c r="H966" s="88"/>
      <c r="I966" s="88"/>
      <c r="J966" s="42"/>
      <c r="K966" s="35"/>
      <c r="L966" s="35"/>
      <c r="M966" s="36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5"/>
    </row>
    <row r="967" spans="1:29" ht="34.5" customHeight="1" hidden="1">
      <c r="A967" s="125" t="s">
        <v>267</v>
      </c>
      <c r="B967" s="103">
        <v>841</v>
      </c>
      <c r="C967" s="87" t="s">
        <v>42</v>
      </c>
      <c r="D967" s="87" t="s">
        <v>792</v>
      </c>
      <c r="E967" s="87" t="s">
        <v>806</v>
      </c>
      <c r="F967" s="87"/>
      <c r="G967" s="88">
        <f>SUM(G968)</f>
        <v>100000</v>
      </c>
      <c r="H967" s="88">
        <f>SUM(H968)</f>
        <v>0</v>
      </c>
      <c r="I967" s="88">
        <f>SUM(I968)</f>
        <v>0</v>
      </c>
      <c r="J967" s="42"/>
      <c r="K967" s="35"/>
      <c r="L967" s="35"/>
      <c r="M967" s="36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  <c r="AA967" s="35"/>
      <c r="AB967" s="35"/>
      <c r="AC967" s="35"/>
    </row>
    <row r="968" spans="1:29" ht="16.5" hidden="1">
      <c r="A968" s="132" t="s">
        <v>189</v>
      </c>
      <c r="B968" s="103">
        <v>841</v>
      </c>
      <c r="C968" s="87" t="s">
        <v>42</v>
      </c>
      <c r="D968" s="87" t="s">
        <v>792</v>
      </c>
      <c r="E968" s="87" t="s">
        <v>806</v>
      </c>
      <c r="F968" s="87" t="s">
        <v>827</v>
      </c>
      <c r="G968" s="88">
        <v>100000</v>
      </c>
      <c r="H968" s="88"/>
      <c r="I968" s="88"/>
      <c r="J968" s="42"/>
      <c r="K968" s="35"/>
      <c r="L968" s="35"/>
      <c r="M968" s="36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  <c r="AC968" s="35"/>
    </row>
    <row r="969" spans="1:29" ht="16.5" hidden="1">
      <c r="A969" s="132" t="s">
        <v>286</v>
      </c>
      <c r="B969" s="103">
        <v>841</v>
      </c>
      <c r="C969" s="87" t="s">
        <v>42</v>
      </c>
      <c r="D969" s="87" t="s">
        <v>792</v>
      </c>
      <c r="E969" s="87" t="s">
        <v>807</v>
      </c>
      <c r="F969" s="87"/>
      <c r="G969" s="88">
        <f>G970</f>
        <v>0</v>
      </c>
      <c r="H969" s="88">
        <f>H970</f>
        <v>0</v>
      </c>
      <c r="I969" s="88">
        <f>I970</f>
        <v>0</v>
      </c>
      <c r="J969" s="42"/>
      <c r="K969" s="35"/>
      <c r="L969" s="35"/>
      <c r="M969" s="36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  <c r="AC969" s="35"/>
    </row>
    <row r="970" spans="1:29" ht="18" customHeight="1" hidden="1">
      <c r="A970" s="132" t="s">
        <v>189</v>
      </c>
      <c r="B970" s="103">
        <v>841</v>
      </c>
      <c r="C970" s="87" t="s">
        <v>42</v>
      </c>
      <c r="D970" s="87" t="s">
        <v>792</v>
      </c>
      <c r="E970" s="87" t="s">
        <v>807</v>
      </c>
      <c r="F970" s="87" t="s">
        <v>827</v>
      </c>
      <c r="G970" s="88"/>
      <c r="H970" s="88"/>
      <c r="I970" s="88"/>
      <c r="J970" s="42"/>
      <c r="K970" s="35"/>
      <c r="L970" s="35"/>
      <c r="M970" s="36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  <c r="AC970" s="35"/>
    </row>
    <row r="971" spans="1:29" ht="20.25" customHeight="1" hidden="1">
      <c r="A971" s="132" t="s">
        <v>323</v>
      </c>
      <c r="B971" s="103">
        <v>841</v>
      </c>
      <c r="C971" s="87" t="s">
        <v>42</v>
      </c>
      <c r="D971" s="87" t="s">
        <v>792</v>
      </c>
      <c r="E971" s="87" t="s">
        <v>292</v>
      </c>
      <c r="F971" s="87"/>
      <c r="G971" s="88">
        <f>G972</f>
        <v>0</v>
      </c>
      <c r="H971" s="88">
        <f>H972</f>
        <v>0</v>
      </c>
      <c r="I971" s="88">
        <f>I972</f>
        <v>0</v>
      </c>
      <c r="J971" s="42"/>
      <c r="K971" s="35"/>
      <c r="L971" s="35"/>
      <c r="M971" s="36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  <c r="AC971" s="35"/>
    </row>
    <row r="972" spans="1:29" ht="18.75" customHeight="1" hidden="1">
      <c r="A972" s="132" t="s">
        <v>401</v>
      </c>
      <c r="B972" s="103">
        <v>841</v>
      </c>
      <c r="C972" s="87" t="s">
        <v>42</v>
      </c>
      <c r="D972" s="87" t="s">
        <v>792</v>
      </c>
      <c r="E972" s="87" t="s">
        <v>292</v>
      </c>
      <c r="F972" s="87" t="s">
        <v>827</v>
      </c>
      <c r="G972" s="88"/>
      <c r="H972" s="88"/>
      <c r="I972" s="88"/>
      <c r="J972" s="42"/>
      <c r="K972" s="35"/>
      <c r="L972" s="35"/>
      <c r="M972" s="36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  <c r="AA972" s="35"/>
      <c r="AB972" s="35"/>
      <c r="AC972" s="35"/>
    </row>
    <row r="973" spans="1:29" ht="18.75" customHeight="1" hidden="1">
      <c r="A973" s="132" t="s">
        <v>186</v>
      </c>
      <c r="B973" s="103">
        <v>841</v>
      </c>
      <c r="C973" s="87" t="s">
        <v>42</v>
      </c>
      <c r="D973" s="87" t="s">
        <v>792</v>
      </c>
      <c r="E973" s="87" t="s">
        <v>115</v>
      </c>
      <c r="F973" s="87"/>
      <c r="G973" s="88">
        <f>G974</f>
        <v>12986.7</v>
      </c>
      <c r="H973" s="88"/>
      <c r="I973" s="88"/>
      <c r="J973" s="42"/>
      <c r="K973" s="35"/>
      <c r="L973" s="35"/>
      <c r="M973" s="36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  <c r="AA973" s="35"/>
      <c r="AB973" s="35"/>
      <c r="AC973" s="35"/>
    </row>
    <row r="974" spans="1:29" ht="18.75" customHeight="1" hidden="1">
      <c r="A974" s="132" t="s">
        <v>401</v>
      </c>
      <c r="B974" s="103">
        <v>841</v>
      </c>
      <c r="C974" s="87" t="s">
        <v>42</v>
      </c>
      <c r="D974" s="87" t="s">
        <v>792</v>
      </c>
      <c r="E974" s="87" t="s">
        <v>115</v>
      </c>
      <c r="F974" s="87" t="s">
        <v>827</v>
      </c>
      <c r="G974" s="88">
        <v>12986.7</v>
      </c>
      <c r="H974" s="88"/>
      <c r="I974" s="88"/>
      <c r="J974" s="42"/>
      <c r="K974" s="35"/>
      <c r="L974" s="35"/>
      <c r="M974" s="36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5"/>
    </row>
    <row r="975" spans="1:29" ht="21" customHeight="1" hidden="1">
      <c r="A975" s="125" t="s">
        <v>170</v>
      </c>
      <c r="B975" s="103">
        <v>841</v>
      </c>
      <c r="C975" s="87" t="s">
        <v>42</v>
      </c>
      <c r="D975" s="87" t="s">
        <v>792</v>
      </c>
      <c r="E975" s="87" t="s">
        <v>522</v>
      </c>
      <c r="F975" s="87"/>
      <c r="G975" s="88">
        <f>G976</f>
        <v>31000</v>
      </c>
      <c r="H975" s="88">
        <f>H976</f>
        <v>0</v>
      </c>
      <c r="I975" s="88">
        <f>I976</f>
        <v>0</v>
      </c>
      <c r="J975" s="42"/>
      <c r="K975" s="35"/>
      <c r="L975" s="35"/>
      <c r="M975" s="36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  <c r="AC975" s="35"/>
    </row>
    <row r="976" spans="1:29" ht="18.75" customHeight="1" hidden="1">
      <c r="A976" s="132" t="s">
        <v>401</v>
      </c>
      <c r="B976" s="103">
        <v>841</v>
      </c>
      <c r="C976" s="87" t="s">
        <v>42</v>
      </c>
      <c r="D976" s="87" t="s">
        <v>792</v>
      </c>
      <c r="E976" s="87" t="s">
        <v>522</v>
      </c>
      <c r="F976" s="87" t="s">
        <v>827</v>
      </c>
      <c r="G976" s="88">
        <v>31000</v>
      </c>
      <c r="H976" s="88"/>
      <c r="I976" s="88"/>
      <c r="J976" s="42"/>
      <c r="K976" s="35"/>
      <c r="L976" s="35"/>
      <c r="M976" s="36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  <c r="AC976" s="35"/>
    </row>
    <row r="977" spans="1:29" ht="17.25" customHeight="1">
      <c r="A977" s="131" t="s">
        <v>380</v>
      </c>
      <c r="B977" s="103">
        <v>841</v>
      </c>
      <c r="C977" s="87" t="s">
        <v>42</v>
      </c>
      <c r="D977" s="87" t="s">
        <v>792</v>
      </c>
      <c r="E977" s="87" t="s">
        <v>381</v>
      </c>
      <c r="F977" s="87"/>
      <c r="G977" s="88">
        <f aca="true" t="shared" si="107" ref="G977:I978">SUM(G978)</f>
        <v>154724.3</v>
      </c>
      <c r="H977" s="88">
        <f t="shared" si="107"/>
        <v>416152.8</v>
      </c>
      <c r="I977" s="88">
        <f t="shared" si="107"/>
        <v>0</v>
      </c>
      <c r="J977" s="42"/>
      <c r="K977" s="35"/>
      <c r="L977" s="35"/>
      <c r="M977" s="36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  <c r="AA977" s="35"/>
      <c r="AB977" s="35"/>
      <c r="AC977" s="35"/>
    </row>
    <row r="978" spans="1:29" ht="51" customHeight="1">
      <c r="A978" s="131" t="s">
        <v>678</v>
      </c>
      <c r="B978" s="103">
        <v>841</v>
      </c>
      <c r="C978" s="104" t="s">
        <v>42</v>
      </c>
      <c r="D978" s="87" t="s">
        <v>792</v>
      </c>
      <c r="E978" s="87" t="s">
        <v>212</v>
      </c>
      <c r="F978" s="87"/>
      <c r="G978" s="88">
        <f t="shared" si="107"/>
        <v>154724.3</v>
      </c>
      <c r="H978" s="88">
        <f t="shared" si="107"/>
        <v>416152.8</v>
      </c>
      <c r="I978" s="88">
        <f t="shared" si="107"/>
        <v>0</v>
      </c>
      <c r="J978" s="42"/>
      <c r="K978" s="35"/>
      <c r="L978" s="35"/>
      <c r="M978" s="36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  <c r="AA978" s="35"/>
      <c r="AB978" s="35"/>
      <c r="AC978" s="35"/>
    </row>
    <row r="979" spans="1:29" ht="33.75" customHeight="1">
      <c r="A979" s="131" t="s">
        <v>187</v>
      </c>
      <c r="B979" s="103">
        <v>841</v>
      </c>
      <c r="C979" s="104" t="s">
        <v>42</v>
      </c>
      <c r="D979" s="87" t="s">
        <v>792</v>
      </c>
      <c r="E979" s="87" t="s">
        <v>212</v>
      </c>
      <c r="F979" s="87" t="s">
        <v>64</v>
      </c>
      <c r="G979" s="88">
        <v>154724.3</v>
      </c>
      <c r="H979" s="88">
        <v>416152.8</v>
      </c>
      <c r="I979" s="88"/>
      <c r="J979" s="42"/>
      <c r="K979" s="35"/>
      <c r="L979" s="35"/>
      <c r="M979" s="36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  <c r="AA979" s="35"/>
      <c r="AB979" s="35"/>
      <c r="AC979" s="35"/>
    </row>
    <row r="980" spans="1:29" ht="16.5" hidden="1">
      <c r="A980" s="131" t="s">
        <v>184</v>
      </c>
      <c r="B980" s="103">
        <v>841</v>
      </c>
      <c r="C980" s="104" t="s">
        <v>794</v>
      </c>
      <c r="D980" s="87"/>
      <c r="E980" s="87"/>
      <c r="F980" s="87"/>
      <c r="G980" s="88">
        <f>SUM(G981)</f>
        <v>3000</v>
      </c>
      <c r="H980" s="88">
        <f>SUM(H981)</f>
        <v>0</v>
      </c>
      <c r="I980" s="88">
        <f>SUM(I981)</f>
        <v>0</v>
      </c>
      <c r="J980" s="42"/>
      <c r="K980" s="35"/>
      <c r="L980" s="35"/>
      <c r="M980" s="36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  <c r="AA980" s="35"/>
      <c r="AB980" s="35"/>
      <c r="AC980" s="35"/>
    </row>
    <row r="981" spans="1:29" ht="16.5" hidden="1">
      <c r="A981" s="131" t="s">
        <v>271</v>
      </c>
      <c r="B981" s="103">
        <v>841</v>
      </c>
      <c r="C981" s="104" t="s">
        <v>794</v>
      </c>
      <c r="D981" s="87" t="s">
        <v>42</v>
      </c>
      <c r="E981" s="87"/>
      <c r="F981" s="87"/>
      <c r="G981" s="88">
        <f>SUM(G984)</f>
        <v>3000</v>
      </c>
      <c r="H981" s="88">
        <f>SUM(H984)</f>
        <v>0</v>
      </c>
      <c r="I981" s="88">
        <f>SUM(I984)</f>
        <v>0</v>
      </c>
      <c r="J981" s="42"/>
      <c r="K981" s="35"/>
      <c r="L981" s="35"/>
      <c r="M981" s="36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  <c r="AA981" s="35"/>
      <c r="AB981" s="35"/>
      <c r="AC981" s="35"/>
    </row>
    <row r="982" spans="1:29" ht="33" hidden="1">
      <c r="A982" s="125" t="s">
        <v>185</v>
      </c>
      <c r="B982" s="103">
        <v>841</v>
      </c>
      <c r="C982" s="104" t="s">
        <v>794</v>
      </c>
      <c r="D982" s="87" t="s">
        <v>42</v>
      </c>
      <c r="E982" s="87" t="s">
        <v>392</v>
      </c>
      <c r="F982" s="87"/>
      <c r="G982" s="88">
        <f>SUM(G983)</f>
        <v>3000</v>
      </c>
      <c r="H982" s="88">
        <f aca="true" t="shared" si="108" ref="H982:I984">SUM(H983)</f>
        <v>0</v>
      </c>
      <c r="I982" s="88">
        <f t="shared" si="108"/>
        <v>0</v>
      </c>
      <c r="J982" s="42"/>
      <c r="K982" s="35"/>
      <c r="L982" s="35"/>
      <c r="M982" s="36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  <c r="AA982" s="35"/>
      <c r="AB982" s="35"/>
      <c r="AC982" s="35"/>
    </row>
    <row r="983" spans="1:29" ht="16.5" hidden="1">
      <c r="A983" s="125" t="s">
        <v>774</v>
      </c>
      <c r="B983" s="103">
        <v>841</v>
      </c>
      <c r="C983" s="104" t="s">
        <v>794</v>
      </c>
      <c r="D983" s="87" t="s">
        <v>42</v>
      </c>
      <c r="E983" s="87" t="s">
        <v>800</v>
      </c>
      <c r="F983" s="87"/>
      <c r="G983" s="88">
        <f>SUM(G984)</f>
        <v>3000</v>
      </c>
      <c r="H983" s="88">
        <f t="shared" si="108"/>
        <v>0</v>
      </c>
      <c r="I983" s="88">
        <f t="shared" si="108"/>
        <v>0</v>
      </c>
      <c r="J983" s="42"/>
      <c r="K983" s="35"/>
      <c r="L983" s="35"/>
      <c r="M983" s="36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  <c r="AA983" s="35"/>
      <c r="AB983" s="35"/>
      <c r="AC983" s="35"/>
    </row>
    <row r="984" spans="1:29" ht="16.5" hidden="1">
      <c r="A984" s="125" t="s">
        <v>263</v>
      </c>
      <c r="B984" s="103">
        <v>841</v>
      </c>
      <c r="C984" s="104" t="s">
        <v>794</v>
      </c>
      <c r="D984" s="87" t="s">
        <v>42</v>
      </c>
      <c r="E984" s="87" t="s">
        <v>803</v>
      </c>
      <c r="F984" s="87"/>
      <c r="G984" s="88">
        <f>SUM(G985)</f>
        <v>3000</v>
      </c>
      <c r="H984" s="88">
        <f t="shared" si="108"/>
        <v>0</v>
      </c>
      <c r="I984" s="88">
        <f t="shared" si="108"/>
        <v>0</v>
      </c>
      <c r="J984" s="42"/>
      <c r="K984" s="35"/>
      <c r="L984" s="35"/>
      <c r="M984" s="36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  <c r="AC984" s="35"/>
    </row>
    <row r="985" spans="1:29" ht="16.5" hidden="1">
      <c r="A985" s="132" t="s">
        <v>189</v>
      </c>
      <c r="B985" s="103">
        <v>841</v>
      </c>
      <c r="C985" s="104" t="s">
        <v>794</v>
      </c>
      <c r="D985" s="87" t="s">
        <v>42</v>
      </c>
      <c r="E985" s="87" t="s">
        <v>803</v>
      </c>
      <c r="F985" s="87" t="s">
        <v>827</v>
      </c>
      <c r="G985" s="88">
        <v>3000</v>
      </c>
      <c r="H985" s="88"/>
      <c r="I985" s="88"/>
      <c r="J985" s="42"/>
      <c r="K985" s="35"/>
      <c r="L985" s="35"/>
      <c r="M985" s="36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  <c r="AC985" s="35"/>
    </row>
    <row r="986" spans="1:29" ht="18.75" customHeight="1" hidden="1">
      <c r="A986" s="131" t="s">
        <v>412</v>
      </c>
      <c r="B986" s="103">
        <v>841</v>
      </c>
      <c r="C986" s="87" t="s">
        <v>508</v>
      </c>
      <c r="D986" s="87"/>
      <c r="E986" s="87"/>
      <c r="F986" s="87"/>
      <c r="G986" s="88">
        <f>SUM(G987)</f>
        <v>110470.8</v>
      </c>
      <c r="H986" s="88">
        <f>SUM(H987)</f>
        <v>0</v>
      </c>
      <c r="I986" s="88">
        <f>SUM(I987)</f>
        <v>0</v>
      </c>
      <c r="J986" s="42"/>
      <c r="K986" s="35"/>
      <c r="L986" s="35"/>
      <c r="M986" s="36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C986" s="35"/>
    </row>
    <row r="987" spans="1:29" ht="20.25" customHeight="1" hidden="1">
      <c r="A987" s="131" t="s">
        <v>104</v>
      </c>
      <c r="B987" s="103">
        <v>841</v>
      </c>
      <c r="C987" s="87" t="s">
        <v>508</v>
      </c>
      <c r="D987" s="87" t="s">
        <v>40</v>
      </c>
      <c r="E987" s="87"/>
      <c r="F987" s="87"/>
      <c r="G987" s="88">
        <f>SUM(G988,)</f>
        <v>110470.8</v>
      </c>
      <c r="H987" s="88">
        <f>SUM(H988,)</f>
        <v>0</v>
      </c>
      <c r="I987" s="88">
        <f>SUM(I988,)</f>
        <v>0</v>
      </c>
      <c r="J987" s="42"/>
      <c r="K987" s="35"/>
      <c r="L987" s="35"/>
      <c r="M987" s="36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  <c r="AA987" s="35"/>
      <c r="AB987" s="35"/>
      <c r="AC987" s="35"/>
    </row>
    <row r="988" spans="1:29" ht="18.75" customHeight="1" hidden="1">
      <c r="A988" s="125" t="s">
        <v>391</v>
      </c>
      <c r="B988" s="103">
        <v>841</v>
      </c>
      <c r="C988" s="87" t="s">
        <v>508</v>
      </c>
      <c r="D988" s="87" t="s">
        <v>40</v>
      </c>
      <c r="E988" s="87" t="s">
        <v>392</v>
      </c>
      <c r="F988" s="87"/>
      <c r="G988" s="88">
        <f>G995+G989</f>
        <v>110470.8</v>
      </c>
      <c r="H988" s="88">
        <f>H995+H989</f>
        <v>0</v>
      </c>
      <c r="I988" s="88">
        <f>I995+I989</f>
        <v>0</v>
      </c>
      <c r="J988" s="42"/>
      <c r="K988" s="35"/>
      <c r="L988" s="35"/>
      <c r="M988" s="36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  <c r="AA988" s="35"/>
      <c r="AB988" s="35"/>
      <c r="AC988" s="35"/>
    </row>
    <row r="989" spans="1:29" ht="52.5" customHeight="1" hidden="1">
      <c r="A989" s="125" t="s">
        <v>57</v>
      </c>
      <c r="B989" s="103">
        <v>841</v>
      </c>
      <c r="C989" s="87" t="s">
        <v>508</v>
      </c>
      <c r="D989" s="87" t="s">
        <v>40</v>
      </c>
      <c r="E989" s="87" t="s">
        <v>54</v>
      </c>
      <c r="F989" s="87"/>
      <c r="G989" s="88">
        <f>G990</f>
        <v>0</v>
      </c>
      <c r="H989" s="88">
        <f>H990</f>
        <v>0</v>
      </c>
      <c r="I989" s="88">
        <f>I990</f>
        <v>0</v>
      </c>
      <c r="J989" s="42"/>
      <c r="K989" s="35"/>
      <c r="L989" s="35"/>
      <c r="M989" s="36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  <c r="AA989" s="35"/>
      <c r="AB989" s="35"/>
      <c r="AC989" s="35"/>
    </row>
    <row r="990" spans="1:29" ht="36" customHeight="1" hidden="1">
      <c r="A990" s="125" t="s">
        <v>393</v>
      </c>
      <c r="B990" s="103">
        <v>841</v>
      </c>
      <c r="C990" s="87" t="s">
        <v>508</v>
      </c>
      <c r="D990" s="87" t="s">
        <v>40</v>
      </c>
      <c r="E990" s="87" t="s">
        <v>394</v>
      </c>
      <c r="F990" s="87"/>
      <c r="G990" s="88">
        <f>SUM(G991:G994)</f>
        <v>0</v>
      </c>
      <c r="H990" s="88">
        <f>SUM(H991:H994)</f>
        <v>0</v>
      </c>
      <c r="I990" s="88">
        <f>SUM(I991:I994)</f>
        <v>0</v>
      </c>
      <c r="J990" s="42"/>
      <c r="K990" s="35"/>
      <c r="L990" s="35"/>
      <c r="M990" s="36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  <c r="AA990" s="35"/>
      <c r="AB990" s="35"/>
      <c r="AC990" s="35"/>
    </row>
    <row r="991" spans="1:29" ht="18" customHeight="1" hidden="1">
      <c r="A991" s="125" t="s">
        <v>768</v>
      </c>
      <c r="B991" s="103">
        <v>841</v>
      </c>
      <c r="C991" s="87" t="s">
        <v>508</v>
      </c>
      <c r="D991" s="87" t="s">
        <v>40</v>
      </c>
      <c r="E991" s="87" t="s">
        <v>394</v>
      </c>
      <c r="F991" s="87" t="s">
        <v>68</v>
      </c>
      <c r="G991" s="88"/>
      <c r="H991" s="88"/>
      <c r="I991" s="88"/>
      <c r="J991" s="42"/>
      <c r="K991" s="35"/>
      <c r="L991" s="35"/>
      <c r="M991" s="36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  <c r="AA991" s="35"/>
      <c r="AB991" s="35"/>
      <c r="AC991" s="35"/>
    </row>
    <row r="992" spans="1:29" ht="18" customHeight="1" hidden="1">
      <c r="A992" s="125" t="s">
        <v>339</v>
      </c>
      <c r="B992" s="103">
        <v>841</v>
      </c>
      <c r="C992" s="87" t="s">
        <v>508</v>
      </c>
      <c r="D992" s="87" t="s">
        <v>40</v>
      </c>
      <c r="E992" s="87" t="s">
        <v>394</v>
      </c>
      <c r="F992" s="87" t="s">
        <v>69</v>
      </c>
      <c r="G992" s="88"/>
      <c r="H992" s="88"/>
      <c r="I992" s="88"/>
      <c r="J992" s="42"/>
      <c r="K992" s="35"/>
      <c r="L992" s="35"/>
      <c r="M992" s="36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  <c r="AA992" s="35"/>
      <c r="AB992" s="35"/>
      <c r="AC992" s="35"/>
    </row>
    <row r="993" spans="1:29" ht="20.25" customHeight="1" hidden="1">
      <c r="A993" s="125" t="s">
        <v>248</v>
      </c>
      <c r="B993" s="103">
        <v>841</v>
      </c>
      <c r="C993" s="87" t="s">
        <v>508</v>
      </c>
      <c r="D993" s="87" t="s">
        <v>40</v>
      </c>
      <c r="E993" s="87" t="s">
        <v>394</v>
      </c>
      <c r="F993" s="87" t="s">
        <v>70</v>
      </c>
      <c r="G993" s="88"/>
      <c r="H993" s="88"/>
      <c r="I993" s="88"/>
      <c r="J993" s="42"/>
      <c r="K993" s="35"/>
      <c r="L993" s="35"/>
      <c r="M993" s="36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  <c r="AA993" s="35"/>
      <c r="AB993" s="35"/>
      <c r="AC993" s="35"/>
    </row>
    <row r="994" spans="1:29" ht="20.25" customHeight="1" hidden="1">
      <c r="A994" s="125" t="s">
        <v>249</v>
      </c>
      <c r="B994" s="103">
        <v>841</v>
      </c>
      <c r="C994" s="87" t="s">
        <v>508</v>
      </c>
      <c r="D994" s="87" t="s">
        <v>40</v>
      </c>
      <c r="E994" s="87" t="s">
        <v>394</v>
      </c>
      <c r="F994" s="87" t="s">
        <v>71</v>
      </c>
      <c r="G994" s="88"/>
      <c r="H994" s="88"/>
      <c r="I994" s="88"/>
      <c r="J994" s="42"/>
      <c r="K994" s="35"/>
      <c r="L994" s="35"/>
      <c r="M994" s="36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  <c r="AC994" s="35"/>
    </row>
    <row r="995" spans="1:29" ht="16.5" hidden="1">
      <c r="A995" s="125" t="s">
        <v>774</v>
      </c>
      <c r="B995" s="103">
        <v>841</v>
      </c>
      <c r="C995" s="87" t="s">
        <v>508</v>
      </c>
      <c r="D995" s="87" t="s">
        <v>40</v>
      </c>
      <c r="E995" s="87" t="s">
        <v>800</v>
      </c>
      <c r="F995" s="87"/>
      <c r="G995" s="88">
        <f>G996+G998+G1000+G1002</f>
        <v>110470.8</v>
      </c>
      <c r="H995" s="88">
        <f>H996+H998+H1000+H1002</f>
        <v>0</v>
      </c>
      <c r="I995" s="88">
        <f>I996+I998+I1000+I1002</f>
        <v>0</v>
      </c>
      <c r="J995" s="42"/>
      <c r="K995" s="35"/>
      <c r="L995" s="35"/>
      <c r="M995" s="36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  <c r="AC995" s="35"/>
    </row>
    <row r="996" spans="1:29" ht="18.75" customHeight="1" hidden="1">
      <c r="A996" s="125" t="s">
        <v>263</v>
      </c>
      <c r="B996" s="103">
        <v>841</v>
      </c>
      <c r="C996" s="87" t="s">
        <v>508</v>
      </c>
      <c r="D996" s="87" t="s">
        <v>40</v>
      </c>
      <c r="E996" s="87" t="s">
        <v>803</v>
      </c>
      <c r="F996" s="87"/>
      <c r="G996" s="88">
        <f>SUM(G997)</f>
        <v>5070.8</v>
      </c>
      <c r="H996" s="88">
        <f>SUM(H997)</f>
        <v>0</v>
      </c>
      <c r="I996" s="88">
        <f>SUM(I997)</f>
        <v>0</v>
      </c>
      <c r="J996" s="42"/>
      <c r="K996" s="35"/>
      <c r="L996" s="35"/>
      <c r="M996" s="36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  <c r="AC996" s="35"/>
    </row>
    <row r="997" spans="1:29" ht="16.5" hidden="1">
      <c r="A997" s="132" t="s">
        <v>401</v>
      </c>
      <c r="B997" s="103">
        <v>841</v>
      </c>
      <c r="C997" s="87" t="s">
        <v>508</v>
      </c>
      <c r="D997" s="87" t="s">
        <v>40</v>
      </c>
      <c r="E997" s="87" t="s">
        <v>803</v>
      </c>
      <c r="F997" s="87" t="s">
        <v>827</v>
      </c>
      <c r="G997" s="88">
        <f>1170.8+3900</f>
        <v>5070.8</v>
      </c>
      <c r="H997" s="88"/>
      <c r="I997" s="88"/>
      <c r="J997" s="42"/>
      <c r="K997" s="35"/>
      <c r="L997" s="35"/>
      <c r="M997" s="36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  <c r="AA997" s="35"/>
      <c r="AB997" s="35"/>
      <c r="AC997" s="35"/>
    </row>
    <row r="998" spans="1:29" ht="39" customHeight="1" hidden="1">
      <c r="A998" s="132" t="s">
        <v>524</v>
      </c>
      <c r="B998" s="103">
        <v>841</v>
      </c>
      <c r="C998" s="87" t="s">
        <v>508</v>
      </c>
      <c r="D998" s="87" t="s">
        <v>40</v>
      </c>
      <c r="E998" s="87" t="s">
        <v>808</v>
      </c>
      <c r="F998" s="87"/>
      <c r="G998" s="88">
        <f>SUM(G999)</f>
        <v>91700</v>
      </c>
      <c r="H998" s="88">
        <f>SUM(H999)</f>
        <v>0</v>
      </c>
      <c r="I998" s="88">
        <f>SUM(I999)</f>
        <v>0</v>
      </c>
      <c r="J998" s="42"/>
      <c r="K998" s="35"/>
      <c r="L998" s="35"/>
      <c r="M998" s="36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  <c r="AA998" s="35"/>
      <c r="AB998" s="35"/>
      <c r="AC998" s="35"/>
    </row>
    <row r="999" spans="1:181" s="48" customFormat="1" ht="16.5" hidden="1">
      <c r="A999" s="132" t="s">
        <v>401</v>
      </c>
      <c r="B999" s="103">
        <v>841</v>
      </c>
      <c r="C999" s="87" t="s">
        <v>508</v>
      </c>
      <c r="D999" s="87" t="s">
        <v>40</v>
      </c>
      <c r="E999" s="87" t="s">
        <v>808</v>
      </c>
      <c r="F999" s="87" t="s">
        <v>827</v>
      </c>
      <c r="G999" s="88">
        <v>91700</v>
      </c>
      <c r="H999" s="88"/>
      <c r="I999" s="88"/>
      <c r="J999" s="42"/>
      <c r="K999" s="35"/>
      <c r="L999" s="35"/>
      <c r="M999" s="36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  <c r="AA999" s="35"/>
      <c r="AB999" s="35"/>
      <c r="AC999" s="35"/>
      <c r="AD999" s="35"/>
      <c r="AE999" s="35"/>
      <c r="AF999" s="35"/>
      <c r="AG999" s="35"/>
      <c r="AH999" s="35"/>
      <c r="AI999" s="35"/>
      <c r="AJ999" s="35"/>
      <c r="AK999" s="35"/>
      <c r="AL999" s="35"/>
      <c r="AM999" s="35"/>
      <c r="AN999" s="35"/>
      <c r="AO999" s="35"/>
      <c r="AP999" s="35"/>
      <c r="AQ999" s="35"/>
      <c r="AR999" s="35"/>
      <c r="AS999" s="35"/>
      <c r="AT999" s="35"/>
      <c r="AU999" s="35"/>
      <c r="AV999" s="35"/>
      <c r="AW999" s="35"/>
      <c r="AX999" s="35"/>
      <c r="AY999" s="35"/>
      <c r="AZ999" s="35"/>
      <c r="BA999" s="35"/>
      <c r="BB999" s="35"/>
      <c r="BC999" s="35"/>
      <c r="BD999" s="35"/>
      <c r="BE999" s="35"/>
      <c r="BF999" s="35"/>
      <c r="BG999" s="35"/>
      <c r="BH999" s="35"/>
      <c r="BI999" s="35"/>
      <c r="BJ999" s="35"/>
      <c r="BK999" s="35"/>
      <c r="BL999" s="35"/>
      <c r="BM999" s="35"/>
      <c r="BN999" s="35"/>
      <c r="BO999" s="35"/>
      <c r="BP999" s="35"/>
      <c r="BQ999" s="35"/>
      <c r="BR999" s="35"/>
      <c r="BS999" s="35"/>
      <c r="BT999" s="35"/>
      <c r="BU999" s="35"/>
      <c r="BV999" s="35"/>
      <c r="BW999" s="35"/>
      <c r="BX999" s="35"/>
      <c r="BY999" s="35"/>
      <c r="BZ999" s="35"/>
      <c r="CA999" s="35"/>
      <c r="CB999" s="35"/>
      <c r="CC999" s="35"/>
      <c r="CD999" s="35"/>
      <c r="CE999" s="35"/>
      <c r="CF999" s="35"/>
      <c r="CG999" s="35"/>
      <c r="CH999" s="35"/>
      <c r="CI999" s="35"/>
      <c r="CJ999" s="35"/>
      <c r="CK999" s="35"/>
      <c r="CL999" s="35"/>
      <c r="CM999" s="35"/>
      <c r="CN999" s="35"/>
      <c r="CO999" s="35"/>
      <c r="CP999" s="35"/>
      <c r="CQ999" s="35"/>
      <c r="CR999" s="35"/>
      <c r="CS999" s="35"/>
      <c r="CT999" s="35"/>
      <c r="CU999" s="35"/>
      <c r="CV999" s="35"/>
      <c r="CW999" s="35"/>
      <c r="CX999" s="35"/>
      <c r="CY999" s="35"/>
      <c r="CZ999" s="35"/>
      <c r="DA999" s="35"/>
      <c r="DB999" s="35"/>
      <c r="DC999" s="35"/>
      <c r="DD999" s="35"/>
      <c r="DE999" s="35"/>
      <c r="DF999" s="35"/>
      <c r="DG999" s="35"/>
      <c r="DH999" s="35"/>
      <c r="DI999" s="35"/>
      <c r="DJ999" s="35"/>
      <c r="DK999" s="35"/>
      <c r="DL999" s="35"/>
      <c r="DM999" s="35"/>
      <c r="DN999" s="35"/>
      <c r="DO999" s="35"/>
      <c r="DP999" s="35"/>
      <c r="DQ999" s="35"/>
      <c r="DR999" s="35"/>
      <c r="DS999" s="35"/>
      <c r="DT999" s="35"/>
      <c r="DU999" s="35"/>
      <c r="DV999" s="35"/>
      <c r="DW999" s="35"/>
      <c r="DX999" s="35"/>
      <c r="DY999" s="35"/>
      <c r="DZ999" s="35"/>
      <c r="EA999" s="35"/>
      <c r="EB999" s="35"/>
      <c r="EC999" s="35"/>
      <c r="ED999" s="35"/>
      <c r="EE999" s="35"/>
      <c r="EF999" s="35"/>
      <c r="EG999" s="35"/>
      <c r="EH999" s="35"/>
      <c r="EI999" s="35"/>
      <c r="EJ999" s="35"/>
      <c r="EK999" s="35"/>
      <c r="EL999" s="35"/>
      <c r="EM999" s="35"/>
      <c r="EN999" s="35"/>
      <c r="EO999" s="35"/>
      <c r="EP999" s="35"/>
      <c r="EQ999" s="35"/>
      <c r="ER999" s="35"/>
      <c r="ES999" s="35"/>
      <c r="ET999" s="35"/>
      <c r="EU999" s="35"/>
      <c r="EV999" s="35"/>
      <c r="EW999" s="35"/>
      <c r="EX999" s="35"/>
      <c r="EY999" s="35"/>
      <c r="EZ999" s="35"/>
      <c r="FA999" s="35"/>
      <c r="FB999" s="35"/>
      <c r="FC999" s="35"/>
      <c r="FD999" s="35"/>
      <c r="FE999" s="35"/>
      <c r="FF999" s="35"/>
      <c r="FG999" s="35"/>
      <c r="FH999" s="35"/>
      <c r="FI999" s="35"/>
      <c r="FJ999" s="35"/>
      <c r="FK999" s="35"/>
      <c r="FL999" s="35"/>
      <c r="FM999" s="35"/>
      <c r="FN999" s="35"/>
      <c r="FO999" s="35"/>
      <c r="FP999" s="35"/>
      <c r="FQ999" s="35"/>
      <c r="FR999" s="35"/>
      <c r="FS999" s="35"/>
      <c r="FT999" s="35"/>
      <c r="FU999" s="35"/>
      <c r="FV999" s="35"/>
      <c r="FW999" s="35"/>
      <c r="FX999" s="35"/>
      <c r="FY999" s="35"/>
    </row>
    <row r="1000" spans="1:181" s="49" customFormat="1" ht="18.75" customHeight="1" hidden="1">
      <c r="A1000" s="132" t="s">
        <v>523</v>
      </c>
      <c r="B1000" s="103">
        <v>841</v>
      </c>
      <c r="C1000" s="87" t="s">
        <v>508</v>
      </c>
      <c r="D1000" s="87" t="s">
        <v>40</v>
      </c>
      <c r="E1000" s="87" t="s">
        <v>809</v>
      </c>
      <c r="F1000" s="87"/>
      <c r="G1000" s="88">
        <f>SUM(G1001)</f>
        <v>10700</v>
      </c>
      <c r="H1000" s="88">
        <f>SUM(H1001)</f>
        <v>0</v>
      </c>
      <c r="I1000" s="88">
        <f>SUM(I1001)</f>
        <v>0</v>
      </c>
      <c r="J1000" s="42"/>
      <c r="K1000" s="35"/>
      <c r="L1000" s="35"/>
      <c r="M1000" s="36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F1000" s="35"/>
      <c r="AG1000" s="35"/>
      <c r="AH1000" s="35"/>
      <c r="AI1000" s="35"/>
      <c r="AJ1000" s="35"/>
      <c r="AK1000" s="35"/>
      <c r="AL1000" s="35"/>
      <c r="AM1000" s="35"/>
      <c r="AN1000" s="35"/>
      <c r="AO1000" s="35"/>
      <c r="AP1000" s="35"/>
      <c r="AQ1000" s="35"/>
      <c r="AR1000" s="35"/>
      <c r="AS1000" s="35"/>
      <c r="AT1000" s="35"/>
      <c r="AU1000" s="35"/>
      <c r="AV1000" s="35"/>
      <c r="AW1000" s="35"/>
      <c r="AX1000" s="35"/>
      <c r="AY1000" s="35"/>
      <c r="AZ1000" s="35"/>
      <c r="BA1000" s="35"/>
      <c r="BB1000" s="35"/>
      <c r="BC1000" s="35"/>
      <c r="BD1000" s="35"/>
      <c r="BE1000" s="35"/>
      <c r="BF1000" s="35"/>
      <c r="BG1000" s="35"/>
      <c r="BH1000" s="35"/>
      <c r="BI1000" s="35"/>
      <c r="BJ1000" s="35"/>
      <c r="BK1000" s="35"/>
      <c r="BL1000" s="35"/>
      <c r="BM1000" s="35"/>
      <c r="BN1000" s="35"/>
      <c r="BO1000" s="35"/>
      <c r="BP1000" s="35"/>
      <c r="BQ1000" s="35"/>
      <c r="BR1000" s="35"/>
      <c r="BS1000" s="35"/>
      <c r="BT1000" s="35"/>
      <c r="BU1000" s="35"/>
      <c r="BV1000" s="35"/>
      <c r="BW1000" s="35"/>
      <c r="BX1000" s="35"/>
      <c r="BY1000" s="35"/>
      <c r="BZ1000" s="35"/>
      <c r="CA1000" s="35"/>
      <c r="CB1000" s="35"/>
      <c r="CC1000" s="35"/>
      <c r="CD1000" s="35"/>
      <c r="CE1000" s="35"/>
      <c r="CF1000" s="35"/>
      <c r="CG1000" s="35"/>
      <c r="CH1000" s="35"/>
      <c r="CI1000" s="35"/>
      <c r="CJ1000" s="35"/>
      <c r="CK1000" s="35"/>
      <c r="CL1000" s="35"/>
      <c r="CM1000" s="35"/>
      <c r="CN1000" s="35"/>
      <c r="CO1000" s="35"/>
      <c r="CP1000" s="35"/>
      <c r="CQ1000" s="35"/>
      <c r="CR1000" s="35"/>
      <c r="CS1000" s="35"/>
      <c r="CT1000" s="35"/>
      <c r="CU1000" s="35"/>
      <c r="CV1000" s="35"/>
      <c r="CW1000" s="35"/>
      <c r="CX1000" s="35"/>
      <c r="CY1000" s="35"/>
      <c r="CZ1000" s="35"/>
      <c r="DA1000" s="35"/>
      <c r="DB1000" s="35"/>
      <c r="DC1000" s="35"/>
      <c r="DD1000" s="35"/>
      <c r="DE1000" s="35"/>
      <c r="DF1000" s="35"/>
      <c r="DG1000" s="35"/>
      <c r="DH1000" s="35"/>
      <c r="DI1000" s="35"/>
      <c r="DJ1000" s="35"/>
      <c r="DK1000" s="35"/>
      <c r="DL1000" s="35"/>
      <c r="DM1000" s="35"/>
      <c r="DN1000" s="35"/>
      <c r="DO1000" s="35"/>
      <c r="DP1000" s="35"/>
      <c r="DQ1000" s="35"/>
      <c r="DR1000" s="35"/>
      <c r="DS1000" s="35"/>
      <c r="DT1000" s="35"/>
      <c r="DU1000" s="35"/>
      <c r="DV1000" s="35"/>
      <c r="DW1000" s="35"/>
      <c r="DX1000" s="35"/>
      <c r="DY1000" s="35"/>
      <c r="DZ1000" s="35"/>
      <c r="EA1000" s="35"/>
      <c r="EB1000" s="35"/>
      <c r="EC1000" s="35"/>
      <c r="ED1000" s="35"/>
      <c r="EE1000" s="35"/>
      <c r="EF1000" s="35"/>
      <c r="EG1000" s="35"/>
      <c r="EH1000" s="35"/>
      <c r="EI1000" s="35"/>
      <c r="EJ1000" s="35"/>
      <c r="EK1000" s="35"/>
      <c r="EL1000" s="35"/>
      <c r="EM1000" s="35"/>
      <c r="EN1000" s="35"/>
      <c r="EO1000" s="35"/>
      <c r="EP1000" s="35"/>
      <c r="EQ1000" s="35"/>
      <c r="ER1000" s="35"/>
      <c r="ES1000" s="35"/>
      <c r="ET1000" s="35"/>
      <c r="EU1000" s="35"/>
      <c r="EV1000" s="35"/>
      <c r="EW1000" s="35"/>
      <c r="EX1000" s="35"/>
      <c r="EY1000" s="35"/>
      <c r="EZ1000" s="35"/>
      <c r="FA1000" s="35"/>
      <c r="FB1000" s="35"/>
      <c r="FC1000" s="35"/>
      <c r="FD1000" s="35"/>
      <c r="FE1000" s="35"/>
      <c r="FF1000" s="35"/>
      <c r="FG1000" s="35"/>
      <c r="FH1000" s="35"/>
      <c r="FI1000" s="35"/>
      <c r="FJ1000" s="35"/>
      <c r="FK1000" s="35"/>
      <c r="FL1000" s="35"/>
      <c r="FM1000" s="35"/>
      <c r="FN1000" s="35"/>
      <c r="FO1000" s="35"/>
      <c r="FP1000" s="35"/>
      <c r="FQ1000" s="35"/>
      <c r="FR1000" s="35"/>
      <c r="FS1000" s="35"/>
      <c r="FT1000" s="35"/>
      <c r="FU1000" s="35"/>
      <c r="FV1000" s="35"/>
      <c r="FW1000" s="35"/>
      <c r="FX1000" s="35"/>
      <c r="FY1000" s="35"/>
    </row>
    <row r="1001" spans="1:181" ht="16.5" hidden="1">
      <c r="A1001" s="132" t="s">
        <v>401</v>
      </c>
      <c r="B1001" s="103">
        <v>841</v>
      </c>
      <c r="C1001" s="87" t="s">
        <v>508</v>
      </c>
      <c r="D1001" s="87" t="s">
        <v>40</v>
      </c>
      <c r="E1001" s="87" t="s">
        <v>809</v>
      </c>
      <c r="F1001" s="87" t="s">
        <v>827</v>
      </c>
      <c r="G1001" s="88">
        <v>10700</v>
      </c>
      <c r="H1001" s="88"/>
      <c r="I1001" s="88"/>
      <c r="J1001" s="42"/>
      <c r="K1001" s="35"/>
      <c r="L1001" s="35"/>
      <c r="M1001" s="36"/>
      <c r="N1001" s="35"/>
      <c r="O1001" s="35"/>
      <c r="P1001" s="35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  <c r="AA1001" s="35"/>
      <c r="AB1001" s="35"/>
      <c r="AC1001" s="35"/>
      <c r="AD1001" s="35"/>
      <c r="AE1001" s="35"/>
      <c r="AF1001" s="35"/>
      <c r="AG1001" s="35"/>
      <c r="AH1001" s="35"/>
      <c r="AI1001" s="35"/>
      <c r="AJ1001" s="35"/>
      <c r="AK1001" s="35"/>
      <c r="AL1001" s="35"/>
      <c r="AM1001" s="35"/>
      <c r="AN1001" s="35"/>
      <c r="AO1001" s="35"/>
      <c r="AP1001" s="35"/>
      <c r="AQ1001" s="35"/>
      <c r="AR1001" s="35"/>
      <c r="AS1001" s="35"/>
      <c r="AT1001" s="35"/>
      <c r="AU1001" s="35"/>
      <c r="AV1001" s="35"/>
      <c r="AW1001" s="35"/>
      <c r="AX1001" s="35"/>
      <c r="AY1001" s="35"/>
      <c r="AZ1001" s="35"/>
      <c r="BA1001" s="35"/>
      <c r="BB1001" s="35"/>
      <c r="BC1001" s="35"/>
      <c r="BD1001" s="35"/>
      <c r="BE1001" s="35"/>
      <c r="BF1001" s="35"/>
      <c r="BG1001" s="35"/>
      <c r="BH1001" s="35"/>
      <c r="BI1001" s="35"/>
      <c r="BJ1001" s="35"/>
      <c r="BK1001" s="35"/>
      <c r="BL1001" s="35"/>
      <c r="BM1001" s="35"/>
      <c r="BN1001" s="35"/>
      <c r="BO1001" s="35"/>
      <c r="BP1001" s="35"/>
      <c r="BQ1001" s="35"/>
      <c r="BR1001" s="35"/>
      <c r="BS1001" s="35"/>
      <c r="BT1001" s="35"/>
      <c r="BU1001" s="35"/>
      <c r="BV1001" s="35"/>
      <c r="BW1001" s="35"/>
      <c r="BX1001" s="35"/>
      <c r="BY1001" s="35"/>
      <c r="BZ1001" s="35"/>
      <c r="CA1001" s="35"/>
      <c r="CB1001" s="35"/>
      <c r="CC1001" s="35"/>
      <c r="CD1001" s="35"/>
      <c r="CE1001" s="35"/>
      <c r="CF1001" s="35"/>
      <c r="CG1001" s="35"/>
      <c r="CH1001" s="35"/>
      <c r="CI1001" s="35"/>
      <c r="CJ1001" s="35"/>
      <c r="CK1001" s="35"/>
      <c r="CL1001" s="35"/>
      <c r="CM1001" s="35"/>
      <c r="CN1001" s="35"/>
      <c r="CO1001" s="35"/>
      <c r="CP1001" s="35"/>
      <c r="CQ1001" s="35"/>
      <c r="CR1001" s="35"/>
      <c r="CS1001" s="35"/>
      <c r="CT1001" s="35"/>
      <c r="CU1001" s="35"/>
      <c r="CV1001" s="35"/>
      <c r="CW1001" s="35"/>
      <c r="CX1001" s="35"/>
      <c r="CY1001" s="35"/>
      <c r="CZ1001" s="35"/>
      <c r="DA1001" s="35"/>
      <c r="DB1001" s="35"/>
      <c r="DC1001" s="35"/>
      <c r="DD1001" s="35"/>
      <c r="DE1001" s="35"/>
      <c r="DF1001" s="35"/>
      <c r="DG1001" s="35"/>
      <c r="DH1001" s="35"/>
      <c r="DI1001" s="35"/>
      <c r="DJ1001" s="35"/>
      <c r="DK1001" s="35"/>
      <c r="DL1001" s="35"/>
      <c r="DM1001" s="35"/>
      <c r="DN1001" s="35"/>
      <c r="DO1001" s="35"/>
      <c r="DP1001" s="35"/>
      <c r="DQ1001" s="35"/>
      <c r="DR1001" s="35"/>
      <c r="DS1001" s="35"/>
      <c r="DT1001" s="35"/>
      <c r="DU1001" s="35"/>
      <c r="DV1001" s="35"/>
      <c r="DW1001" s="35"/>
      <c r="DX1001" s="35"/>
      <c r="DY1001" s="35"/>
      <c r="DZ1001" s="35"/>
      <c r="EA1001" s="35"/>
      <c r="EB1001" s="35"/>
      <c r="EC1001" s="35"/>
      <c r="ED1001" s="35"/>
      <c r="EE1001" s="35"/>
      <c r="EF1001" s="35"/>
      <c r="EG1001" s="35"/>
      <c r="EH1001" s="35"/>
      <c r="EI1001" s="35"/>
      <c r="EJ1001" s="35"/>
      <c r="EK1001" s="35"/>
      <c r="EL1001" s="35"/>
      <c r="EM1001" s="35"/>
      <c r="EN1001" s="35"/>
      <c r="EO1001" s="35"/>
      <c r="EP1001" s="35"/>
      <c r="EQ1001" s="35"/>
      <c r="ER1001" s="35"/>
      <c r="ES1001" s="35"/>
      <c r="ET1001" s="35"/>
      <c r="EU1001" s="35"/>
      <c r="EV1001" s="35"/>
      <c r="EW1001" s="35"/>
      <c r="EX1001" s="35"/>
      <c r="EY1001" s="35"/>
      <c r="EZ1001" s="35"/>
      <c r="FA1001" s="35"/>
      <c r="FB1001" s="35"/>
      <c r="FC1001" s="35"/>
      <c r="FD1001" s="35"/>
      <c r="FE1001" s="35"/>
      <c r="FF1001" s="35"/>
      <c r="FG1001" s="35"/>
      <c r="FH1001" s="35"/>
      <c r="FI1001" s="35"/>
      <c r="FJ1001" s="35"/>
      <c r="FK1001" s="35"/>
      <c r="FL1001" s="35"/>
      <c r="FM1001" s="35"/>
      <c r="FN1001" s="35"/>
      <c r="FO1001" s="35"/>
      <c r="FP1001" s="35"/>
      <c r="FQ1001" s="35"/>
      <c r="FR1001" s="35"/>
      <c r="FS1001" s="35"/>
      <c r="FT1001" s="35"/>
      <c r="FU1001" s="35"/>
      <c r="FV1001" s="35"/>
      <c r="FW1001" s="35"/>
      <c r="FX1001" s="35"/>
      <c r="FY1001" s="35"/>
    </row>
    <row r="1002" spans="1:181" ht="16.5" hidden="1">
      <c r="A1002" s="132" t="s">
        <v>272</v>
      </c>
      <c r="B1002" s="103">
        <v>841</v>
      </c>
      <c r="C1002" s="87" t="s">
        <v>508</v>
      </c>
      <c r="D1002" s="87" t="s">
        <v>40</v>
      </c>
      <c r="E1002" s="87" t="s">
        <v>269</v>
      </c>
      <c r="F1002" s="87"/>
      <c r="G1002" s="88">
        <f>G1003</f>
        <v>3000</v>
      </c>
      <c r="H1002" s="88">
        <f>H1003</f>
        <v>0</v>
      </c>
      <c r="I1002" s="88">
        <f>I1003</f>
        <v>0</v>
      </c>
      <c r="J1002" s="42"/>
      <c r="K1002" s="35"/>
      <c r="L1002" s="35"/>
      <c r="M1002" s="36"/>
      <c r="N1002" s="35"/>
      <c r="O1002" s="35"/>
      <c r="P1002" s="35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/>
      <c r="AA1002" s="35"/>
      <c r="AB1002" s="35"/>
      <c r="AC1002" s="35"/>
      <c r="AD1002" s="35"/>
      <c r="AE1002" s="35"/>
      <c r="AF1002" s="35"/>
      <c r="AG1002" s="35"/>
      <c r="AH1002" s="35"/>
      <c r="AI1002" s="35"/>
      <c r="AJ1002" s="35"/>
      <c r="AK1002" s="35"/>
      <c r="AL1002" s="35"/>
      <c r="AM1002" s="35"/>
      <c r="AN1002" s="35"/>
      <c r="AO1002" s="35"/>
      <c r="AP1002" s="35"/>
      <c r="AQ1002" s="35"/>
      <c r="AR1002" s="35"/>
      <c r="AS1002" s="35"/>
      <c r="AT1002" s="35"/>
      <c r="AU1002" s="35"/>
      <c r="AV1002" s="35"/>
      <c r="AW1002" s="35"/>
      <c r="AX1002" s="35"/>
      <c r="AY1002" s="35"/>
      <c r="AZ1002" s="35"/>
      <c r="BA1002" s="35"/>
      <c r="BB1002" s="35"/>
      <c r="BC1002" s="35"/>
      <c r="BD1002" s="35"/>
      <c r="BE1002" s="35"/>
      <c r="BF1002" s="35"/>
      <c r="BG1002" s="35"/>
      <c r="BH1002" s="35"/>
      <c r="BI1002" s="35"/>
      <c r="BJ1002" s="35"/>
      <c r="BK1002" s="35"/>
      <c r="BL1002" s="35"/>
      <c r="BM1002" s="35"/>
      <c r="BN1002" s="35"/>
      <c r="BO1002" s="35"/>
      <c r="BP1002" s="35"/>
      <c r="BQ1002" s="35"/>
      <c r="BR1002" s="35"/>
      <c r="BS1002" s="35"/>
      <c r="BT1002" s="35"/>
      <c r="BU1002" s="35"/>
      <c r="BV1002" s="35"/>
      <c r="BW1002" s="35"/>
      <c r="BX1002" s="35"/>
      <c r="BY1002" s="35"/>
      <c r="BZ1002" s="35"/>
      <c r="CA1002" s="35"/>
      <c r="CB1002" s="35"/>
      <c r="CC1002" s="35"/>
      <c r="CD1002" s="35"/>
      <c r="CE1002" s="35"/>
      <c r="CF1002" s="35"/>
      <c r="CG1002" s="35"/>
      <c r="CH1002" s="35"/>
      <c r="CI1002" s="35"/>
      <c r="CJ1002" s="35"/>
      <c r="CK1002" s="35"/>
      <c r="CL1002" s="35"/>
      <c r="CM1002" s="35"/>
      <c r="CN1002" s="35"/>
      <c r="CO1002" s="35"/>
      <c r="CP1002" s="35"/>
      <c r="CQ1002" s="35"/>
      <c r="CR1002" s="35"/>
      <c r="CS1002" s="35"/>
      <c r="CT1002" s="35"/>
      <c r="CU1002" s="35"/>
      <c r="CV1002" s="35"/>
      <c r="CW1002" s="35"/>
      <c r="CX1002" s="35"/>
      <c r="CY1002" s="35"/>
      <c r="CZ1002" s="35"/>
      <c r="DA1002" s="35"/>
      <c r="DB1002" s="35"/>
      <c r="DC1002" s="35"/>
      <c r="DD1002" s="35"/>
      <c r="DE1002" s="35"/>
      <c r="DF1002" s="35"/>
      <c r="DG1002" s="35"/>
      <c r="DH1002" s="35"/>
      <c r="DI1002" s="35"/>
      <c r="DJ1002" s="35"/>
      <c r="DK1002" s="35"/>
      <c r="DL1002" s="35"/>
      <c r="DM1002" s="35"/>
      <c r="DN1002" s="35"/>
      <c r="DO1002" s="35"/>
      <c r="DP1002" s="35"/>
      <c r="DQ1002" s="35"/>
      <c r="DR1002" s="35"/>
      <c r="DS1002" s="35"/>
      <c r="DT1002" s="35"/>
      <c r="DU1002" s="35"/>
      <c r="DV1002" s="35"/>
      <c r="DW1002" s="35"/>
      <c r="DX1002" s="35"/>
      <c r="DY1002" s="35"/>
      <c r="DZ1002" s="35"/>
      <c r="EA1002" s="35"/>
      <c r="EB1002" s="35"/>
      <c r="EC1002" s="35"/>
      <c r="ED1002" s="35"/>
      <c r="EE1002" s="35"/>
      <c r="EF1002" s="35"/>
      <c r="EG1002" s="35"/>
      <c r="EH1002" s="35"/>
      <c r="EI1002" s="35"/>
      <c r="EJ1002" s="35"/>
      <c r="EK1002" s="35"/>
      <c r="EL1002" s="35"/>
      <c r="EM1002" s="35"/>
      <c r="EN1002" s="35"/>
      <c r="EO1002" s="35"/>
      <c r="EP1002" s="35"/>
      <c r="EQ1002" s="35"/>
      <c r="ER1002" s="35"/>
      <c r="ES1002" s="35"/>
      <c r="ET1002" s="35"/>
      <c r="EU1002" s="35"/>
      <c r="EV1002" s="35"/>
      <c r="EW1002" s="35"/>
      <c r="EX1002" s="35"/>
      <c r="EY1002" s="35"/>
      <c r="EZ1002" s="35"/>
      <c r="FA1002" s="35"/>
      <c r="FB1002" s="35"/>
      <c r="FC1002" s="35"/>
      <c r="FD1002" s="35"/>
      <c r="FE1002" s="35"/>
      <c r="FF1002" s="35"/>
      <c r="FG1002" s="35"/>
      <c r="FH1002" s="35"/>
      <c r="FI1002" s="35"/>
      <c r="FJ1002" s="35"/>
      <c r="FK1002" s="35"/>
      <c r="FL1002" s="35"/>
      <c r="FM1002" s="35"/>
      <c r="FN1002" s="35"/>
      <c r="FO1002" s="35"/>
      <c r="FP1002" s="35"/>
      <c r="FQ1002" s="35"/>
      <c r="FR1002" s="35"/>
      <c r="FS1002" s="35"/>
      <c r="FT1002" s="35"/>
      <c r="FU1002" s="35"/>
      <c r="FV1002" s="35"/>
      <c r="FW1002" s="35"/>
      <c r="FX1002" s="35"/>
      <c r="FY1002" s="35"/>
    </row>
    <row r="1003" spans="1:29" ht="16.5" hidden="1">
      <c r="A1003" s="132" t="s">
        <v>401</v>
      </c>
      <c r="B1003" s="103">
        <v>841</v>
      </c>
      <c r="C1003" s="87" t="s">
        <v>508</v>
      </c>
      <c r="D1003" s="87" t="s">
        <v>40</v>
      </c>
      <c r="E1003" s="87" t="s">
        <v>269</v>
      </c>
      <c r="F1003" s="87" t="s">
        <v>827</v>
      </c>
      <c r="G1003" s="88">
        <v>3000</v>
      </c>
      <c r="H1003" s="88"/>
      <c r="I1003" s="88"/>
      <c r="J1003" s="42"/>
      <c r="K1003" s="35"/>
      <c r="L1003" s="35"/>
      <c r="M1003" s="36"/>
      <c r="N1003" s="35"/>
      <c r="O1003" s="35"/>
      <c r="P1003" s="35"/>
      <c r="Q1003" s="35"/>
      <c r="R1003" s="35"/>
      <c r="S1003" s="35"/>
      <c r="T1003" s="35"/>
      <c r="U1003" s="35"/>
      <c r="V1003" s="35"/>
      <c r="W1003" s="35"/>
      <c r="X1003" s="35"/>
      <c r="Y1003" s="35"/>
      <c r="Z1003" s="35"/>
      <c r="AA1003" s="35"/>
      <c r="AB1003" s="35"/>
      <c r="AC1003" s="35"/>
    </row>
    <row r="1004" spans="1:29" ht="18" customHeight="1" hidden="1">
      <c r="A1004" s="131" t="s">
        <v>216</v>
      </c>
      <c r="B1004" s="103">
        <v>841</v>
      </c>
      <c r="C1004" s="87" t="s">
        <v>43</v>
      </c>
      <c r="D1004" s="87"/>
      <c r="E1004" s="87"/>
      <c r="F1004" s="87"/>
      <c r="G1004" s="88">
        <f aca="true" t="shared" si="109" ref="G1004:I1005">SUM(G1005)</f>
        <v>0</v>
      </c>
      <c r="H1004" s="88">
        <f t="shared" si="109"/>
        <v>0</v>
      </c>
      <c r="I1004" s="88">
        <f t="shared" si="109"/>
        <v>0</v>
      </c>
      <c r="J1004" s="42"/>
      <c r="K1004" s="35"/>
      <c r="L1004" s="35"/>
      <c r="M1004" s="36"/>
      <c r="N1004" s="35"/>
      <c r="O1004" s="35"/>
      <c r="P1004" s="35"/>
      <c r="Q1004" s="35"/>
      <c r="R1004" s="35"/>
      <c r="S1004" s="35"/>
      <c r="T1004" s="35"/>
      <c r="U1004" s="35"/>
      <c r="V1004" s="35"/>
      <c r="W1004" s="35"/>
      <c r="X1004" s="35"/>
      <c r="Y1004" s="35"/>
      <c r="Z1004" s="35"/>
      <c r="AA1004" s="35"/>
      <c r="AB1004" s="35"/>
      <c r="AC1004" s="35"/>
    </row>
    <row r="1005" spans="1:29" ht="18" customHeight="1" hidden="1">
      <c r="A1005" s="125" t="s">
        <v>220</v>
      </c>
      <c r="B1005" s="103">
        <v>841</v>
      </c>
      <c r="C1005" s="87" t="s">
        <v>43</v>
      </c>
      <c r="D1005" s="87" t="s">
        <v>793</v>
      </c>
      <c r="E1005" s="87"/>
      <c r="F1005" s="87"/>
      <c r="G1005" s="88">
        <f t="shared" si="109"/>
        <v>0</v>
      </c>
      <c r="H1005" s="88">
        <f t="shared" si="109"/>
        <v>0</v>
      </c>
      <c r="I1005" s="88">
        <f t="shared" si="109"/>
        <v>0</v>
      </c>
      <c r="J1005" s="42"/>
      <c r="K1005" s="35"/>
      <c r="L1005" s="35"/>
      <c r="M1005" s="36"/>
      <c r="N1005" s="35"/>
      <c r="O1005" s="35"/>
      <c r="P1005" s="35"/>
      <c r="Q1005" s="35"/>
      <c r="R1005" s="35"/>
      <c r="S1005" s="35"/>
      <c r="T1005" s="35"/>
      <c r="U1005" s="35"/>
      <c r="V1005" s="35"/>
      <c r="W1005" s="35"/>
      <c r="X1005" s="35"/>
      <c r="Y1005" s="35"/>
      <c r="Z1005" s="35"/>
      <c r="AA1005" s="35"/>
      <c r="AB1005" s="35"/>
      <c r="AC1005" s="35"/>
    </row>
    <row r="1006" spans="1:29" ht="19.5" customHeight="1" hidden="1">
      <c r="A1006" s="125" t="s">
        <v>391</v>
      </c>
      <c r="B1006" s="103">
        <v>841</v>
      </c>
      <c r="C1006" s="87" t="s">
        <v>43</v>
      </c>
      <c r="D1006" s="87" t="s">
        <v>793</v>
      </c>
      <c r="E1006" s="87" t="s">
        <v>392</v>
      </c>
      <c r="F1006" s="87"/>
      <c r="G1006" s="88">
        <f>SUM(G1011,G1007)</f>
        <v>0</v>
      </c>
      <c r="H1006" s="88">
        <f>SUM(H1011,H1007)</f>
        <v>0</v>
      </c>
      <c r="I1006" s="88">
        <f>SUM(I1011,I1007)</f>
        <v>0</v>
      </c>
      <c r="J1006" s="42"/>
      <c r="K1006" s="35"/>
      <c r="L1006" s="35"/>
      <c r="M1006" s="36"/>
      <c r="N1006" s="35"/>
      <c r="O1006" s="35"/>
      <c r="P1006" s="35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  <c r="AA1006" s="35"/>
      <c r="AB1006" s="35"/>
      <c r="AC1006" s="35"/>
    </row>
    <row r="1007" spans="1:29" ht="51" customHeight="1" hidden="1">
      <c r="A1007" s="125" t="s">
        <v>57</v>
      </c>
      <c r="B1007" s="103">
        <v>841</v>
      </c>
      <c r="C1007" s="87" t="s">
        <v>43</v>
      </c>
      <c r="D1007" s="87" t="s">
        <v>793</v>
      </c>
      <c r="E1007" s="87" t="s">
        <v>54</v>
      </c>
      <c r="F1007" s="87"/>
      <c r="G1007" s="88">
        <f>SUM(G1008)</f>
        <v>0</v>
      </c>
      <c r="H1007" s="88">
        <f>SUM(H1008)</f>
        <v>0</v>
      </c>
      <c r="I1007" s="88">
        <f>SUM(I1008)</f>
        <v>0</v>
      </c>
      <c r="J1007" s="42"/>
      <c r="K1007" s="35"/>
      <c r="L1007" s="35"/>
      <c r="M1007" s="36"/>
      <c r="N1007" s="35"/>
      <c r="O1007" s="35"/>
      <c r="P1007" s="35"/>
      <c r="Q1007" s="35"/>
      <c r="R1007" s="35"/>
      <c r="S1007" s="35"/>
      <c r="T1007" s="35"/>
      <c r="U1007" s="35"/>
      <c r="V1007" s="35"/>
      <c r="W1007" s="35"/>
      <c r="X1007" s="35"/>
      <c r="Y1007" s="35"/>
      <c r="Z1007" s="35"/>
      <c r="AA1007" s="35"/>
      <c r="AB1007" s="35"/>
      <c r="AC1007" s="35"/>
    </row>
    <row r="1008" spans="1:29" ht="34.5" customHeight="1" hidden="1">
      <c r="A1008" s="125" t="s">
        <v>188</v>
      </c>
      <c r="B1008" s="103">
        <v>841</v>
      </c>
      <c r="C1008" s="87" t="s">
        <v>43</v>
      </c>
      <c r="D1008" s="87" t="s">
        <v>793</v>
      </c>
      <c r="E1008" s="87" t="s">
        <v>394</v>
      </c>
      <c r="F1008" s="87"/>
      <c r="G1008" s="88">
        <f>SUM(G1009:G1010)</f>
        <v>0</v>
      </c>
      <c r="H1008" s="88">
        <f>SUM(H1009:H1010)</f>
        <v>0</v>
      </c>
      <c r="I1008" s="88">
        <f>SUM(I1009:I1010)</f>
        <v>0</v>
      </c>
      <c r="J1008" s="42"/>
      <c r="K1008" s="35"/>
      <c r="L1008" s="35"/>
      <c r="M1008" s="36"/>
      <c r="N1008" s="35"/>
      <c r="O1008" s="35"/>
      <c r="P1008" s="35"/>
      <c r="Q1008" s="35"/>
      <c r="R1008" s="35"/>
      <c r="S1008" s="35"/>
      <c r="T1008" s="35"/>
      <c r="U1008" s="35"/>
      <c r="V1008" s="35"/>
      <c r="W1008" s="35"/>
      <c r="X1008" s="35"/>
      <c r="Y1008" s="35"/>
      <c r="Z1008" s="35"/>
      <c r="AA1008" s="35"/>
      <c r="AB1008" s="35"/>
      <c r="AC1008" s="35"/>
    </row>
    <row r="1009" spans="1:29" ht="18.75" customHeight="1" hidden="1">
      <c r="A1009" s="125" t="s">
        <v>773</v>
      </c>
      <c r="B1009" s="103">
        <v>841</v>
      </c>
      <c r="C1009" s="87" t="s">
        <v>43</v>
      </c>
      <c r="D1009" s="87" t="s">
        <v>793</v>
      </c>
      <c r="E1009" s="87" t="s">
        <v>394</v>
      </c>
      <c r="F1009" s="87" t="s">
        <v>72</v>
      </c>
      <c r="G1009" s="88"/>
      <c r="H1009" s="88"/>
      <c r="I1009" s="88"/>
      <c r="J1009" s="42"/>
      <c r="K1009" s="35"/>
      <c r="L1009" s="35"/>
      <c r="M1009" s="36"/>
      <c r="N1009" s="35"/>
      <c r="O1009" s="35"/>
      <c r="P1009" s="35"/>
      <c r="Q1009" s="35"/>
      <c r="R1009" s="35"/>
      <c r="S1009" s="35"/>
      <c r="T1009" s="35"/>
      <c r="U1009" s="35"/>
      <c r="V1009" s="35"/>
      <c r="W1009" s="35"/>
      <c r="X1009" s="35"/>
      <c r="Y1009" s="35"/>
      <c r="Z1009" s="35"/>
      <c r="AA1009" s="35"/>
      <c r="AB1009" s="35"/>
      <c r="AC1009" s="35"/>
    </row>
    <row r="1010" spans="1:29" ht="20.25" customHeight="1" hidden="1">
      <c r="A1010" s="132" t="s">
        <v>251</v>
      </c>
      <c r="B1010" s="103">
        <v>841</v>
      </c>
      <c r="C1010" s="87" t="s">
        <v>43</v>
      </c>
      <c r="D1010" s="87" t="s">
        <v>793</v>
      </c>
      <c r="E1010" s="87" t="s">
        <v>394</v>
      </c>
      <c r="F1010" s="87" t="s">
        <v>73</v>
      </c>
      <c r="G1010" s="88"/>
      <c r="H1010" s="88"/>
      <c r="I1010" s="88"/>
      <c r="J1010" s="42"/>
      <c r="K1010" s="35"/>
      <c r="L1010" s="35"/>
      <c r="M1010" s="36"/>
      <c r="N1010" s="35"/>
      <c r="O1010" s="35"/>
      <c r="P1010" s="35"/>
      <c r="Q1010" s="35"/>
      <c r="R1010" s="35"/>
      <c r="S1010" s="35"/>
      <c r="T1010" s="35"/>
      <c r="U1010" s="35"/>
      <c r="V1010" s="35"/>
      <c r="W1010" s="35"/>
      <c r="X1010" s="35"/>
      <c r="Y1010" s="35"/>
      <c r="Z1010" s="35"/>
      <c r="AA1010" s="35"/>
      <c r="AB1010" s="35"/>
      <c r="AC1010" s="35"/>
    </row>
    <row r="1011" spans="1:29" ht="16.5" hidden="1">
      <c r="A1011" s="125" t="s">
        <v>774</v>
      </c>
      <c r="B1011" s="103">
        <v>841</v>
      </c>
      <c r="C1011" s="87" t="s">
        <v>43</v>
      </c>
      <c r="D1011" s="87" t="s">
        <v>793</v>
      </c>
      <c r="E1011" s="87" t="s">
        <v>800</v>
      </c>
      <c r="F1011" s="87"/>
      <c r="G1011" s="88">
        <f>G1012+G1014</f>
        <v>0</v>
      </c>
      <c r="H1011" s="88">
        <f>H1012+H1014</f>
        <v>0</v>
      </c>
      <c r="I1011" s="88">
        <f>I1012+I1014</f>
        <v>0</v>
      </c>
      <c r="J1011" s="42"/>
      <c r="K1011" s="35"/>
      <c r="L1011" s="35"/>
      <c r="M1011" s="36"/>
      <c r="N1011" s="35"/>
      <c r="O1011" s="35"/>
      <c r="P1011" s="35"/>
      <c r="Q1011" s="35"/>
      <c r="R1011" s="35"/>
      <c r="S1011" s="35"/>
      <c r="T1011" s="35"/>
      <c r="U1011" s="35"/>
      <c r="V1011" s="35"/>
      <c r="W1011" s="35"/>
      <c r="X1011" s="35"/>
      <c r="Y1011" s="35"/>
      <c r="Z1011" s="35"/>
      <c r="AA1011" s="35"/>
      <c r="AB1011" s="35"/>
      <c r="AC1011" s="35"/>
    </row>
    <row r="1012" spans="1:29" ht="19.5" customHeight="1" hidden="1">
      <c r="A1012" s="125" t="s">
        <v>753</v>
      </c>
      <c r="B1012" s="103">
        <v>841</v>
      </c>
      <c r="C1012" s="87" t="s">
        <v>43</v>
      </c>
      <c r="D1012" s="87" t="s">
        <v>793</v>
      </c>
      <c r="E1012" s="87" t="s">
        <v>803</v>
      </c>
      <c r="F1012" s="87"/>
      <c r="G1012" s="88">
        <f>SUM(G1013)</f>
        <v>0</v>
      </c>
      <c r="H1012" s="88">
        <f>SUM(H1013)</f>
        <v>0</v>
      </c>
      <c r="I1012" s="88">
        <f>SUM(I1013)</f>
        <v>0</v>
      </c>
      <c r="J1012" s="42"/>
      <c r="K1012" s="35"/>
      <c r="L1012" s="35"/>
      <c r="M1012" s="36"/>
      <c r="N1012" s="35"/>
      <c r="O1012" s="35"/>
      <c r="P1012" s="35"/>
      <c r="Q1012" s="35"/>
      <c r="R1012" s="35"/>
      <c r="S1012" s="35"/>
      <c r="T1012" s="35"/>
      <c r="U1012" s="35"/>
      <c r="V1012" s="35"/>
      <c r="W1012" s="35"/>
      <c r="X1012" s="35"/>
      <c r="Y1012" s="35"/>
      <c r="Z1012" s="35"/>
      <c r="AA1012" s="35"/>
      <c r="AB1012" s="35"/>
      <c r="AC1012" s="35"/>
    </row>
    <row r="1013" spans="1:29" ht="16.5" hidden="1">
      <c r="A1013" s="132" t="s">
        <v>401</v>
      </c>
      <c r="B1013" s="103">
        <v>841</v>
      </c>
      <c r="C1013" s="87" t="s">
        <v>43</v>
      </c>
      <c r="D1013" s="87" t="s">
        <v>793</v>
      </c>
      <c r="E1013" s="87" t="s">
        <v>803</v>
      </c>
      <c r="F1013" s="87" t="s">
        <v>827</v>
      </c>
      <c r="G1013" s="88"/>
      <c r="H1013" s="88"/>
      <c r="I1013" s="88"/>
      <c r="J1013" s="42"/>
      <c r="K1013" s="35"/>
      <c r="L1013" s="35"/>
      <c r="M1013" s="36"/>
      <c r="N1013" s="35"/>
      <c r="O1013" s="35"/>
      <c r="P1013" s="35"/>
      <c r="Q1013" s="35"/>
      <c r="R1013" s="35"/>
      <c r="S1013" s="35"/>
      <c r="T1013" s="35"/>
      <c r="U1013" s="35"/>
      <c r="V1013" s="35"/>
      <c r="W1013" s="35"/>
      <c r="X1013" s="35"/>
      <c r="Y1013" s="35"/>
      <c r="Z1013" s="35"/>
      <c r="AA1013" s="35"/>
      <c r="AB1013" s="35"/>
      <c r="AC1013" s="35"/>
    </row>
    <row r="1014" spans="1:29" ht="18" customHeight="1" hidden="1">
      <c r="A1014" s="132" t="s">
        <v>775</v>
      </c>
      <c r="B1014" s="103">
        <v>841</v>
      </c>
      <c r="C1014" s="87" t="s">
        <v>43</v>
      </c>
      <c r="D1014" s="87" t="s">
        <v>793</v>
      </c>
      <c r="E1014" s="87" t="s">
        <v>810</v>
      </c>
      <c r="F1014" s="87"/>
      <c r="G1014" s="88">
        <f>SUM(G1015)</f>
        <v>0</v>
      </c>
      <c r="H1014" s="88">
        <f>SUM(H1015)</f>
        <v>0</v>
      </c>
      <c r="I1014" s="88">
        <f>SUM(I1015)</f>
        <v>0</v>
      </c>
      <c r="J1014" s="42"/>
      <c r="K1014" s="35"/>
      <c r="L1014" s="35"/>
      <c r="M1014" s="36"/>
      <c r="N1014" s="35"/>
      <c r="O1014" s="35"/>
      <c r="P1014" s="35"/>
      <c r="Q1014" s="35"/>
      <c r="R1014" s="35"/>
      <c r="S1014" s="35"/>
      <c r="T1014" s="35"/>
      <c r="U1014" s="35"/>
      <c r="V1014" s="35"/>
      <c r="W1014" s="35"/>
      <c r="X1014" s="35"/>
      <c r="Y1014" s="35"/>
      <c r="Z1014" s="35"/>
      <c r="AA1014" s="35"/>
      <c r="AB1014" s="35"/>
      <c r="AC1014" s="35"/>
    </row>
    <row r="1015" spans="1:29" ht="16.5" hidden="1">
      <c r="A1015" s="132" t="s">
        <v>401</v>
      </c>
      <c r="B1015" s="103">
        <v>841</v>
      </c>
      <c r="C1015" s="87" t="s">
        <v>43</v>
      </c>
      <c r="D1015" s="87" t="s">
        <v>793</v>
      </c>
      <c r="E1015" s="87" t="s">
        <v>810</v>
      </c>
      <c r="F1015" s="87" t="s">
        <v>827</v>
      </c>
      <c r="G1015" s="88"/>
      <c r="H1015" s="88"/>
      <c r="I1015" s="88"/>
      <c r="J1015" s="42"/>
      <c r="K1015" s="35"/>
      <c r="L1015" s="35"/>
      <c r="M1015" s="36"/>
      <c r="N1015" s="35"/>
      <c r="O1015" s="35"/>
      <c r="P1015" s="35"/>
      <c r="Q1015" s="35"/>
      <c r="R1015" s="35"/>
      <c r="S1015" s="35"/>
      <c r="T1015" s="35"/>
      <c r="U1015" s="35"/>
      <c r="V1015" s="35"/>
      <c r="W1015" s="35"/>
      <c r="X1015" s="35"/>
      <c r="Y1015" s="35"/>
      <c r="Z1015" s="35"/>
      <c r="AA1015" s="35"/>
      <c r="AB1015" s="35"/>
      <c r="AC1015" s="35"/>
    </row>
    <row r="1016" spans="1:29" ht="19.5" customHeight="1" hidden="1">
      <c r="A1016" s="131" t="s">
        <v>218</v>
      </c>
      <c r="B1016" s="103">
        <v>841</v>
      </c>
      <c r="C1016" s="104" t="s">
        <v>40</v>
      </c>
      <c r="D1016" s="87"/>
      <c r="E1016" s="87"/>
      <c r="F1016" s="87"/>
      <c r="G1016" s="88">
        <f>SUM(G1017)</f>
        <v>0</v>
      </c>
      <c r="H1016" s="88">
        <f>SUM(H1017)</f>
        <v>0</v>
      </c>
      <c r="I1016" s="88">
        <f>SUM(I1017)</f>
        <v>0</v>
      </c>
      <c r="J1016" s="42"/>
      <c r="K1016" s="35"/>
      <c r="L1016" s="35"/>
      <c r="M1016" s="36"/>
      <c r="N1016" s="35"/>
      <c r="O1016" s="35"/>
      <c r="P1016" s="35"/>
      <c r="Q1016" s="35"/>
      <c r="R1016" s="35"/>
      <c r="S1016" s="35"/>
      <c r="T1016" s="35"/>
      <c r="U1016" s="35"/>
      <c r="V1016" s="35"/>
      <c r="W1016" s="35"/>
      <c r="X1016" s="35"/>
      <c r="Y1016" s="35"/>
      <c r="Z1016" s="35"/>
      <c r="AA1016" s="35"/>
      <c r="AB1016" s="35"/>
      <c r="AC1016" s="35"/>
    </row>
    <row r="1017" spans="1:29" ht="19.5" customHeight="1" hidden="1">
      <c r="A1017" s="132" t="s">
        <v>489</v>
      </c>
      <c r="B1017" s="103">
        <v>841</v>
      </c>
      <c r="C1017" s="104" t="s">
        <v>40</v>
      </c>
      <c r="D1017" s="87" t="s">
        <v>40</v>
      </c>
      <c r="E1017" s="87"/>
      <c r="F1017" s="87"/>
      <c r="G1017" s="88">
        <f>G1018</f>
        <v>0</v>
      </c>
      <c r="H1017" s="88">
        <f>H1018</f>
        <v>0</v>
      </c>
      <c r="I1017" s="88">
        <f>I1018</f>
        <v>0</v>
      </c>
      <c r="J1017" s="42"/>
      <c r="K1017" s="35"/>
      <c r="L1017" s="35"/>
      <c r="M1017" s="36"/>
      <c r="N1017" s="35"/>
      <c r="O1017" s="35"/>
      <c r="P1017" s="35"/>
      <c r="Q1017" s="35"/>
      <c r="R1017" s="35"/>
      <c r="S1017" s="35"/>
      <c r="T1017" s="35"/>
      <c r="U1017" s="35"/>
      <c r="V1017" s="35"/>
      <c r="W1017" s="35"/>
      <c r="X1017" s="35"/>
      <c r="Y1017" s="35"/>
      <c r="Z1017" s="35"/>
      <c r="AA1017" s="35"/>
      <c r="AB1017" s="35"/>
      <c r="AC1017" s="35"/>
    </row>
    <row r="1018" spans="1:29" ht="18.75" customHeight="1" hidden="1">
      <c r="A1018" s="125" t="s">
        <v>185</v>
      </c>
      <c r="B1018" s="103">
        <v>841</v>
      </c>
      <c r="C1018" s="104" t="s">
        <v>40</v>
      </c>
      <c r="D1018" s="87" t="s">
        <v>40</v>
      </c>
      <c r="E1018" s="87" t="s">
        <v>392</v>
      </c>
      <c r="F1018" s="87"/>
      <c r="G1018" s="88">
        <f>SUM(G1019)</f>
        <v>0</v>
      </c>
      <c r="H1018" s="88">
        <f>SUM(H1019)</f>
        <v>0</v>
      </c>
      <c r="I1018" s="88">
        <f>SUM(I1019)</f>
        <v>0</v>
      </c>
      <c r="J1018" s="42"/>
      <c r="K1018" s="35"/>
      <c r="L1018" s="35"/>
      <c r="M1018" s="36"/>
      <c r="N1018" s="35"/>
      <c r="O1018" s="35"/>
      <c r="P1018" s="35"/>
      <c r="Q1018" s="35"/>
      <c r="R1018" s="35"/>
      <c r="S1018" s="35"/>
      <c r="T1018" s="35"/>
      <c r="U1018" s="35"/>
      <c r="V1018" s="35"/>
      <c r="W1018" s="35"/>
      <c r="X1018" s="35"/>
      <c r="Y1018" s="35"/>
      <c r="Z1018" s="35"/>
      <c r="AA1018" s="35"/>
      <c r="AB1018" s="35"/>
      <c r="AC1018" s="35"/>
    </row>
    <row r="1019" spans="1:29" s="48" customFormat="1" ht="18.75" customHeight="1" hidden="1">
      <c r="A1019" s="125" t="s">
        <v>752</v>
      </c>
      <c r="B1019" s="103">
        <v>841</v>
      </c>
      <c r="C1019" s="87" t="s">
        <v>40</v>
      </c>
      <c r="D1019" s="87" t="s">
        <v>40</v>
      </c>
      <c r="E1019" s="87" t="s">
        <v>800</v>
      </c>
      <c r="F1019" s="87"/>
      <c r="G1019" s="88">
        <f>G1020+G1022</f>
        <v>0</v>
      </c>
      <c r="H1019" s="88">
        <f>H1020+H1022</f>
        <v>0</v>
      </c>
      <c r="I1019" s="88">
        <f>I1020+I1022</f>
        <v>0</v>
      </c>
      <c r="J1019" s="42"/>
      <c r="K1019" s="35"/>
      <c r="L1019" s="35"/>
      <c r="M1019" s="36"/>
      <c r="N1019" s="35"/>
      <c r="O1019" s="35"/>
      <c r="P1019" s="35"/>
      <c r="Q1019" s="35"/>
      <c r="R1019" s="35"/>
      <c r="S1019" s="35"/>
      <c r="T1019" s="35"/>
      <c r="U1019" s="35"/>
      <c r="V1019" s="35"/>
      <c r="W1019" s="35"/>
      <c r="X1019" s="35"/>
      <c r="Y1019" s="35"/>
      <c r="Z1019" s="35"/>
      <c r="AA1019" s="35"/>
      <c r="AB1019" s="35"/>
      <c r="AC1019" s="35"/>
    </row>
    <row r="1020" spans="1:29" s="50" customFormat="1" ht="18.75" customHeight="1" hidden="1">
      <c r="A1020" s="125" t="s">
        <v>753</v>
      </c>
      <c r="B1020" s="103">
        <v>841</v>
      </c>
      <c r="C1020" s="104" t="s">
        <v>40</v>
      </c>
      <c r="D1020" s="87" t="s">
        <v>40</v>
      </c>
      <c r="E1020" s="87" t="s">
        <v>803</v>
      </c>
      <c r="F1020" s="87"/>
      <c r="G1020" s="88">
        <f>G1021</f>
        <v>0</v>
      </c>
      <c r="H1020" s="88">
        <f>H1021</f>
        <v>0</v>
      </c>
      <c r="I1020" s="88">
        <f>I1021</f>
        <v>0</v>
      </c>
      <c r="J1020" s="42"/>
      <c r="K1020" s="35"/>
      <c r="L1020" s="35"/>
      <c r="M1020" s="36"/>
      <c r="N1020" s="35"/>
      <c r="O1020" s="35"/>
      <c r="P1020" s="35"/>
      <c r="Q1020" s="35"/>
      <c r="R1020" s="35"/>
      <c r="S1020" s="35"/>
      <c r="T1020" s="35"/>
      <c r="U1020" s="35"/>
      <c r="V1020" s="35"/>
      <c r="W1020" s="35"/>
      <c r="X1020" s="35"/>
      <c r="Y1020" s="35"/>
      <c r="Z1020" s="35"/>
      <c r="AA1020" s="35"/>
      <c r="AB1020" s="35"/>
      <c r="AC1020" s="35"/>
    </row>
    <row r="1021" spans="1:29" s="50" customFormat="1" ht="18.75" customHeight="1" hidden="1">
      <c r="A1021" s="132" t="s">
        <v>401</v>
      </c>
      <c r="B1021" s="103">
        <v>841</v>
      </c>
      <c r="C1021" s="104" t="s">
        <v>40</v>
      </c>
      <c r="D1021" s="87" t="s">
        <v>40</v>
      </c>
      <c r="E1021" s="87" t="s">
        <v>803</v>
      </c>
      <c r="F1021" s="87" t="s">
        <v>827</v>
      </c>
      <c r="G1021" s="88"/>
      <c r="H1021" s="88"/>
      <c r="I1021" s="88"/>
      <c r="J1021" s="42"/>
      <c r="K1021" s="35"/>
      <c r="L1021" s="35"/>
      <c r="M1021" s="36"/>
      <c r="N1021" s="35"/>
      <c r="O1021" s="35"/>
      <c r="P1021" s="35"/>
      <c r="Q1021" s="35"/>
      <c r="R1021" s="35"/>
      <c r="S1021" s="35"/>
      <c r="T1021" s="35"/>
      <c r="U1021" s="35"/>
      <c r="V1021" s="35"/>
      <c r="W1021" s="35"/>
      <c r="X1021" s="35"/>
      <c r="Y1021" s="35"/>
      <c r="Z1021" s="35"/>
      <c r="AA1021" s="35"/>
      <c r="AB1021" s="35"/>
      <c r="AC1021" s="35"/>
    </row>
    <row r="1022" spans="1:29" s="49" customFormat="1" ht="16.5" customHeight="1" hidden="1">
      <c r="A1022" s="125" t="s">
        <v>250</v>
      </c>
      <c r="B1022" s="103">
        <v>841</v>
      </c>
      <c r="C1022" s="104" t="s">
        <v>40</v>
      </c>
      <c r="D1022" s="87" t="s">
        <v>40</v>
      </c>
      <c r="E1022" s="87" t="s">
        <v>811</v>
      </c>
      <c r="F1022" s="87"/>
      <c r="G1022" s="88">
        <f>SUM(G1023)</f>
        <v>0</v>
      </c>
      <c r="H1022" s="88">
        <f>SUM(H1023)</f>
        <v>0</v>
      </c>
      <c r="I1022" s="88">
        <f>SUM(I1023)</f>
        <v>0</v>
      </c>
      <c r="J1022" s="42"/>
      <c r="K1022" s="35"/>
      <c r="L1022" s="35"/>
      <c r="M1022" s="36"/>
      <c r="N1022" s="35"/>
      <c r="O1022" s="35"/>
      <c r="P1022" s="35"/>
      <c r="Q1022" s="35"/>
      <c r="R1022" s="35"/>
      <c r="S1022" s="35"/>
      <c r="T1022" s="35"/>
      <c r="U1022" s="35"/>
      <c r="V1022" s="35"/>
      <c r="W1022" s="35"/>
      <c r="X1022" s="35"/>
      <c r="Y1022" s="35"/>
      <c r="Z1022" s="35"/>
      <c r="AA1022" s="35"/>
      <c r="AB1022" s="35"/>
      <c r="AC1022" s="35"/>
    </row>
    <row r="1023" spans="1:29" ht="16.5" hidden="1">
      <c r="A1023" s="132" t="s">
        <v>401</v>
      </c>
      <c r="B1023" s="103">
        <v>841</v>
      </c>
      <c r="C1023" s="104" t="s">
        <v>40</v>
      </c>
      <c r="D1023" s="87" t="s">
        <v>40</v>
      </c>
      <c r="E1023" s="87" t="s">
        <v>811</v>
      </c>
      <c r="F1023" s="87" t="s">
        <v>827</v>
      </c>
      <c r="G1023" s="88"/>
      <c r="H1023" s="88"/>
      <c r="I1023" s="88"/>
      <c r="J1023" s="42"/>
      <c r="K1023" s="35"/>
      <c r="L1023" s="35"/>
      <c r="M1023" s="36"/>
      <c r="N1023" s="35"/>
      <c r="O1023" s="35"/>
      <c r="P1023" s="35"/>
      <c r="Q1023" s="35"/>
      <c r="R1023" s="35"/>
      <c r="S1023" s="35"/>
      <c r="T1023" s="35"/>
      <c r="U1023" s="35"/>
      <c r="V1023" s="35"/>
      <c r="W1023" s="35"/>
      <c r="X1023" s="35"/>
      <c r="Y1023" s="35"/>
      <c r="Z1023" s="35"/>
      <c r="AA1023" s="35"/>
      <c r="AB1023" s="35"/>
      <c r="AC1023" s="35"/>
    </row>
    <row r="1024" spans="1:29" ht="18" customHeight="1">
      <c r="A1024" s="133" t="s">
        <v>225</v>
      </c>
      <c r="B1024" s="103">
        <v>188</v>
      </c>
      <c r="C1024" s="87"/>
      <c r="D1024" s="87"/>
      <c r="E1024" s="105"/>
      <c r="F1024" s="105"/>
      <c r="G1024" s="88">
        <f>SUM(G1025)</f>
        <v>23212.2</v>
      </c>
      <c r="H1024" s="88">
        <f aca="true" t="shared" si="110" ref="H1024:I1026">SUM(H1025)</f>
        <v>23339.600000000002</v>
      </c>
      <c r="I1024" s="88">
        <f t="shared" si="110"/>
        <v>23440.1</v>
      </c>
      <c r="J1024" s="42"/>
      <c r="K1024" s="35"/>
      <c r="L1024" s="35"/>
      <c r="M1024" s="36"/>
      <c r="N1024" s="35"/>
      <c r="O1024" s="35"/>
      <c r="P1024" s="35"/>
      <c r="Q1024" s="35"/>
      <c r="R1024" s="35"/>
      <c r="S1024" s="35"/>
      <c r="T1024" s="35"/>
      <c r="U1024" s="35"/>
      <c r="V1024" s="35"/>
      <c r="W1024" s="35"/>
      <c r="X1024" s="35"/>
      <c r="Y1024" s="35"/>
      <c r="Z1024" s="35"/>
      <c r="AA1024" s="35"/>
      <c r="AB1024" s="35"/>
      <c r="AC1024" s="35"/>
    </row>
    <row r="1025" spans="1:29" ht="18" customHeight="1">
      <c r="A1025" s="131" t="s">
        <v>306</v>
      </c>
      <c r="B1025" s="103">
        <v>188</v>
      </c>
      <c r="C1025" s="87" t="s">
        <v>792</v>
      </c>
      <c r="D1025" s="87"/>
      <c r="E1025" s="105"/>
      <c r="F1025" s="105"/>
      <c r="G1025" s="88">
        <f>SUM(G1026)</f>
        <v>23212.2</v>
      </c>
      <c r="H1025" s="88">
        <f t="shared" si="110"/>
        <v>23339.600000000002</v>
      </c>
      <c r="I1025" s="88">
        <f t="shared" si="110"/>
        <v>23440.1</v>
      </c>
      <c r="J1025" s="42"/>
      <c r="K1025" s="35"/>
      <c r="L1025" s="35"/>
      <c r="M1025" s="36"/>
      <c r="N1025" s="35"/>
      <c r="O1025" s="35"/>
      <c r="P1025" s="35"/>
      <c r="Q1025" s="35"/>
      <c r="R1025" s="35"/>
      <c r="S1025" s="35"/>
      <c r="T1025" s="35"/>
      <c r="U1025" s="35"/>
      <c r="V1025" s="35"/>
      <c r="W1025" s="35"/>
      <c r="X1025" s="35"/>
      <c r="Y1025" s="35"/>
      <c r="Z1025" s="35"/>
      <c r="AA1025" s="35"/>
      <c r="AB1025" s="35"/>
      <c r="AC1025" s="35"/>
    </row>
    <row r="1026" spans="1:29" ht="18.75" customHeight="1">
      <c r="A1026" s="131" t="s">
        <v>194</v>
      </c>
      <c r="B1026" s="103">
        <v>188</v>
      </c>
      <c r="C1026" s="87" t="s">
        <v>792</v>
      </c>
      <c r="D1026" s="87" t="s">
        <v>791</v>
      </c>
      <c r="E1026" s="105"/>
      <c r="F1026" s="105"/>
      <c r="G1026" s="88">
        <f>SUM(G1027)</f>
        <v>23212.2</v>
      </c>
      <c r="H1026" s="88">
        <f t="shared" si="110"/>
        <v>23339.600000000002</v>
      </c>
      <c r="I1026" s="88">
        <f t="shared" si="110"/>
        <v>23440.1</v>
      </c>
      <c r="J1026" s="42"/>
      <c r="K1026" s="35"/>
      <c r="L1026" s="35"/>
      <c r="M1026" s="36"/>
      <c r="N1026" s="35"/>
      <c r="O1026" s="35"/>
      <c r="P1026" s="35"/>
      <c r="Q1026" s="35"/>
      <c r="R1026" s="35"/>
      <c r="S1026" s="35"/>
      <c r="T1026" s="35"/>
      <c r="U1026" s="35"/>
      <c r="V1026" s="35"/>
      <c r="W1026" s="35"/>
      <c r="X1026" s="35"/>
      <c r="Y1026" s="35"/>
      <c r="Z1026" s="35"/>
      <c r="AA1026" s="35"/>
      <c r="AB1026" s="35"/>
      <c r="AC1026" s="35"/>
    </row>
    <row r="1027" spans="1:29" ht="19.5" customHeight="1">
      <c r="A1027" s="125" t="s">
        <v>100</v>
      </c>
      <c r="B1027" s="103">
        <v>188</v>
      </c>
      <c r="C1027" s="87" t="s">
        <v>792</v>
      </c>
      <c r="D1027" s="87" t="s">
        <v>791</v>
      </c>
      <c r="E1027" s="87" t="s">
        <v>190</v>
      </c>
      <c r="F1027" s="105"/>
      <c r="G1027" s="88">
        <f>SUM(G1030,G1032,G1034,G1036)</f>
        <v>23212.2</v>
      </c>
      <c r="H1027" s="88">
        <f>SUM(H1030,H1032,H1034,H1036)</f>
        <v>23339.600000000002</v>
      </c>
      <c r="I1027" s="88">
        <f>SUM(I1030,I1032,I1034,I1036)</f>
        <v>23440.1</v>
      </c>
      <c r="J1027" s="42"/>
      <c r="K1027" s="35"/>
      <c r="L1027" s="35"/>
      <c r="M1027" s="36"/>
      <c r="N1027" s="35"/>
      <c r="O1027" s="35"/>
      <c r="P1027" s="35"/>
      <c r="Q1027" s="35"/>
      <c r="R1027" s="35"/>
      <c r="S1027" s="35"/>
      <c r="T1027" s="35"/>
      <c r="U1027" s="35"/>
      <c r="V1027" s="35"/>
      <c r="W1027" s="35"/>
      <c r="X1027" s="35"/>
      <c r="Y1027" s="35"/>
      <c r="Z1027" s="35"/>
      <c r="AA1027" s="35"/>
      <c r="AB1027" s="35"/>
      <c r="AC1027" s="35"/>
    </row>
    <row r="1028" spans="1:29" ht="51" customHeight="1" hidden="1">
      <c r="A1028" s="128" t="s">
        <v>38</v>
      </c>
      <c r="B1028" s="103">
        <v>188</v>
      </c>
      <c r="C1028" s="87" t="s">
        <v>792</v>
      </c>
      <c r="D1028" s="87" t="s">
        <v>791</v>
      </c>
      <c r="E1028" s="87" t="s">
        <v>191</v>
      </c>
      <c r="F1028" s="87"/>
      <c r="G1028" s="88">
        <f>G1029</f>
        <v>0</v>
      </c>
      <c r="H1028" s="88">
        <f>H1029</f>
        <v>0</v>
      </c>
      <c r="I1028" s="88">
        <f>I1029</f>
        <v>0</v>
      </c>
      <c r="J1028" s="42"/>
      <c r="K1028" s="35"/>
      <c r="L1028" s="35"/>
      <c r="M1028" s="36"/>
      <c r="N1028" s="35"/>
      <c r="O1028" s="35"/>
      <c r="P1028" s="35"/>
      <c r="Q1028" s="35"/>
      <c r="R1028" s="35"/>
      <c r="S1028" s="35"/>
      <c r="T1028" s="35"/>
      <c r="U1028" s="35"/>
      <c r="V1028" s="35"/>
      <c r="W1028" s="35"/>
      <c r="X1028" s="35"/>
      <c r="Y1028" s="35"/>
      <c r="Z1028" s="35"/>
      <c r="AA1028" s="35"/>
      <c r="AB1028" s="35"/>
      <c r="AC1028" s="35"/>
    </row>
    <row r="1029" spans="1:29" ht="33" hidden="1">
      <c r="A1029" s="133" t="s">
        <v>825</v>
      </c>
      <c r="B1029" s="103">
        <v>188</v>
      </c>
      <c r="C1029" s="87" t="s">
        <v>792</v>
      </c>
      <c r="D1029" s="87" t="s">
        <v>791</v>
      </c>
      <c r="E1029" s="87" t="s">
        <v>191</v>
      </c>
      <c r="F1029" s="87" t="s">
        <v>506</v>
      </c>
      <c r="G1029" s="88"/>
      <c r="H1029" s="88"/>
      <c r="I1029" s="88"/>
      <c r="J1029" s="42"/>
      <c r="K1029" s="35"/>
      <c r="L1029" s="35"/>
      <c r="M1029" s="36"/>
      <c r="N1029" s="35"/>
      <c r="O1029" s="35"/>
      <c r="P1029" s="35"/>
      <c r="Q1029" s="35"/>
      <c r="R1029" s="35"/>
      <c r="S1029" s="35"/>
      <c r="T1029" s="35"/>
      <c r="U1029" s="35"/>
      <c r="V1029" s="35"/>
      <c r="W1029" s="35"/>
      <c r="X1029" s="35"/>
      <c r="Y1029" s="35"/>
      <c r="Z1029" s="35"/>
      <c r="AA1029" s="35"/>
      <c r="AB1029" s="35"/>
      <c r="AC1029" s="35"/>
    </row>
    <row r="1030" spans="1:29" ht="17.25" customHeight="1">
      <c r="A1030" s="128" t="s">
        <v>826</v>
      </c>
      <c r="B1030" s="103">
        <v>188</v>
      </c>
      <c r="C1030" s="87" t="s">
        <v>792</v>
      </c>
      <c r="D1030" s="87" t="s">
        <v>791</v>
      </c>
      <c r="E1030" s="87" t="s">
        <v>510</v>
      </c>
      <c r="F1030" s="87"/>
      <c r="G1030" s="88">
        <f>SUM(G1031)</f>
        <v>11919.2</v>
      </c>
      <c r="H1030" s="88">
        <f>SUM(H1031)</f>
        <v>11919.2</v>
      </c>
      <c r="I1030" s="88">
        <f>SUM(I1031)</f>
        <v>11919.2</v>
      </c>
      <c r="J1030" s="42"/>
      <c r="K1030" s="35"/>
      <c r="L1030" s="35"/>
      <c r="M1030" s="36"/>
      <c r="N1030" s="35"/>
      <c r="O1030" s="35"/>
      <c r="P1030" s="35"/>
      <c r="Q1030" s="35"/>
      <c r="R1030" s="35"/>
      <c r="S1030" s="35"/>
      <c r="T1030" s="35"/>
      <c r="U1030" s="35"/>
      <c r="V1030" s="35"/>
      <c r="W1030" s="35"/>
      <c r="X1030" s="35"/>
      <c r="Y1030" s="35"/>
      <c r="Z1030" s="35"/>
      <c r="AA1030" s="35"/>
      <c r="AB1030" s="35"/>
      <c r="AC1030" s="35"/>
    </row>
    <row r="1031" spans="1:29" ht="34.5" customHeight="1">
      <c r="A1031" s="133" t="s">
        <v>825</v>
      </c>
      <c r="B1031" s="103">
        <v>188</v>
      </c>
      <c r="C1031" s="87" t="s">
        <v>792</v>
      </c>
      <c r="D1031" s="87" t="s">
        <v>791</v>
      </c>
      <c r="E1031" s="87" t="s">
        <v>510</v>
      </c>
      <c r="F1031" s="87" t="s">
        <v>506</v>
      </c>
      <c r="G1031" s="88">
        <v>11919.2</v>
      </c>
      <c r="H1031" s="88">
        <v>11919.2</v>
      </c>
      <c r="I1031" s="88">
        <v>11919.2</v>
      </c>
      <c r="J1031" s="42"/>
      <c r="K1031" s="35"/>
      <c r="L1031" s="35"/>
      <c r="M1031" s="36"/>
      <c r="N1031" s="35"/>
      <c r="O1031" s="35"/>
      <c r="P1031" s="35"/>
      <c r="Q1031" s="35"/>
      <c r="R1031" s="35"/>
      <c r="S1031" s="35"/>
      <c r="T1031" s="35"/>
      <c r="U1031" s="35"/>
      <c r="V1031" s="35"/>
      <c r="W1031" s="35"/>
      <c r="X1031" s="35"/>
      <c r="Y1031" s="35"/>
      <c r="Z1031" s="35"/>
      <c r="AA1031" s="35"/>
      <c r="AB1031" s="35"/>
      <c r="AC1031" s="35"/>
    </row>
    <row r="1032" spans="1:29" ht="36.75" customHeight="1">
      <c r="A1032" s="131" t="s">
        <v>35</v>
      </c>
      <c r="B1032" s="103">
        <v>188</v>
      </c>
      <c r="C1032" s="87" t="s">
        <v>792</v>
      </c>
      <c r="D1032" s="87" t="s">
        <v>791</v>
      </c>
      <c r="E1032" s="87" t="s">
        <v>511</v>
      </c>
      <c r="F1032" s="87"/>
      <c r="G1032" s="88">
        <f>SUM(G1033)</f>
        <v>10537</v>
      </c>
      <c r="H1032" s="88">
        <f>SUM(H1033)</f>
        <v>10626.5</v>
      </c>
      <c r="I1032" s="88">
        <f>SUM(I1033)</f>
        <v>10691.2</v>
      </c>
      <c r="J1032" s="42"/>
      <c r="K1032" s="35"/>
      <c r="L1032" s="35"/>
      <c r="M1032" s="36"/>
      <c r="N1032" s="35"/>
      <c r="O1032" s="35"/>
      <c r="P1032" s="35"/>
      <c r="Q1032" s="35"/>
      <c r="R1032" s="35"/>
      <c r="S1032" s="35"/>
      <c r="T1032" s="35"/>
      <c r="U1032" s="35"/>
      <c r="V1032" s="35"/>
      <c r="W1032" s="35"/>
      <c r="X1032" s="35"/>
      <c r="Y1032" s="35"/>
      <c r="Z1032" s="35"/>
      <c r="AA1032" s="35"/>
      <c r="AB1032" s="35"/>
      <c r="AC1032" s="35"/>
    </row>
    <row r="1033" spans="1:29" ht="32.25" customHeight="1">
      <c r="A1033" s="133" t="s">
        <v>825</v>
      </c>
      <c r="B1033" s="103">
        <v>188</v>
      </c>
      <c r="C1033" s="87" t="s">
        <v>792</v>
      </c>
      <c r="D1033" s="87" t="s">
        <v>791</v>
      </c>
      <c r="E1033" s="87" t="s">
        <v>511</v>
      </c>
      <c r="F1033" s="87" t="s">
        <v>506</v>
      </c>
      <c r="G1033" s="88">
        <v>10537</v>
      </c>
      <c r="H1033" s="88">
        <v>10626.5</v>
      </c>
      <c r="I1033" s="88">
        <v>10691.2</v>
      </c>
      <c r="J1033" s="42"/>
      <c r="K1033" s="35"/>
      <c r="L1033" s="35"/>
      <c r="M1033" s="36"/>
      <c r="N1033" s="35"/>
      <c r="O1033" s="35"/>
      <c r="P1033" s="35"/>
      <c r="Q1033" s="35"/>
      <c r="R1033" s="35"/>
      <c r="S1033" s="35"/>
      <c r="T1033" s="35"/>
      <c r="U1033" s="35"/>
      <c r="V1033" s="35"/>
      <c r="W1033" s="35"/>
      <c r="X1033" s="35"/>
      <c r="Y1033" s="35"/>
      <c r="Z1033" s="35"/>
      <c r="AA1033" s="35"/>
      <c r="AB1033" s="35"/>
      <c r="AC1033" s="35"/>
    </row>
    <row r="1034" spans="1:29" ht="16.5">
      <c r="A1034" s="132" t="s">
        <v>36</v>
      </c>
      <c r="B1034" s="103">
        <v>188</v>
      </c>
      <c r="C1034" s="87" t="s">
        <v>792</v>
      </c>
      <c r="D1034" s="87" t="s">
        <v>791</v>
      </c>
      <c r="E1034" s="87" t="s">
        <v>512</v>
      </c>
      <c r="F1034" s="87"/>
      <c r="G1034" s="88">
        <f>SUM(G1035)</f>
        <v>97.1</v>
      </c>
      <c r="H1034" s="88">
        <f>SUM(H1035)</f>
        <v>102</v>
      </c>
      <c r="I1034" s="88">
        <f>SUM(I1035)</f>
        <v>106.6</v>
      </c>
      <c r="J1034" s="42"/>
      <c r="K1034" s="35"/>
      <c r="L1034" s="35"/>
      <c r="M1034" s="36"/>
      <c r="N1034" s="35"/>
      <c r="O1034" s="35"/>
      <c r="P1034" s="35"/>
      <c r="Q1034" s="35"/>
      <c r="R1034" s="35"/>
      <c r="S1034" s="35"/>
      <c r="T1034" s="35"/>
      <c r="U1034" s="35"/>
      <c r="V1034" s="35"/>
      <c r="W1034" s="35"/>
      <c r="X1034" s="35"/>
      <c r="Y1034" s="35"/>
      <c r="Z1034" s="35"/>
      <c r="AA1034" s="35"/>
      <c r="AB1034" s="35"/>
      <c r="AC1034" s="35"/>
    </row>
    <row r="1035" spans="1:173" s="48" customFormat="1" ht="33">
      <c r="A1035" s="133" t="s">
        <v>825</v>
      </c>
      <c r="B1035" s="103">
        <v>188</v>
      </c>
      <c r="C1035" s="87" t="s">
        <v>792</v>
      </c>
      <c r="D1035" s="87" t="s">
        <v>791</v>
      </c>
      <c r="E1035" s="87" t="s">
        <v>512</v>
      </c>
      <c r="F1035" s="87" t="s">
        <v>506</v>
      </c>
      <c r="G1035" s="88">
        <v>97.1</v>
      </c>
      <c r="H1035" s="88">
        <v>102</v>
      </c>
      <c r="I1035" s="88">
        <v>106.6</v>
      </c>
      <c r="J1035" s="42"/>
      <c r="K1035" s="35"/>
      <c r="L1035" s="35"/>
      <c r="M1035" s="36"/>
      <c r="N1035" s="35"/>
      <c r="O1035" s="35"/>
      <c r="P1035" s="35"/>
      <c r="Q1035" s="35"/>
      <c r="R1035" s="35"/>
      <c r="S1035" s="35"/>
      <c r="T1035" s="35"/>
      <c r="U1035" s="35"/>
      <c r="V1035" s="35"/>
      <c r="W1035" s="35"/>
      <c r="X1035" s="35"/>
      <c r="Y1035" s="35"/>
      <c r="Z1035" s="35"/>
      <c r="AA1035" s="35"/>
      <c r="AB1035" s="35"/>
      <c r="AC1035" s="35"/>
      <c r="AD1035" s="35"/>
      <c r="AE1035" s="35"/>
      <c r="AF1035" s="35"/>
      <c r="AG1035" s="35"/>
      <c r="AH1035" s="35"/>
      <c r="AI1035" s="35"/>
      <c r="AJ1035" s="35"/>
      <c r="AK1035" s="35"/>
      <c r="AL1035" s="35"/>
      <c r="AM1035" s="35"/>
      <c r="AN1035" s="35"/>
      <c r="AO1035" s="35"/>
      <c r="AP1035" s="35"/>
      <c r="AQ1035" s="35"/>
      <c r="AR1035" s="35"/>
      <c r="AS1035" s="35"/>
      <c r="AT1035" s="35"/>
      <c r="AU1035" s="35"/>
      <c r="AV1035" s="35"/>
      <c r="AW1035" s="35"/>
      <c r="AX1035" s="35"/>
      <c r="AY1035" s="35"/>
      <c r="AZ1035" s="35"/>
      <c r="BA1035" s="35"/>
      <c r="BB1035" s="35"/>
      <c r="BC1035" s="35"/>
      <c r="BD1035" s="35"/>
      <c r="BE1035" s="35"/>
      <c r="BF1035" s="35"/>
      <c r="BG1035" s="35"/>
      <c r="BH1035" s="35"/>
      <c r="BI1035" s="35"/>
      <c r="BJ1035" s="35"/>
      <c r="BK1035" s="35"/>
      <c r="BL1035" s="35"/>
      <c r="BM1035" s="35"/>
      <c r="BN1035" s="35"/>
      <c r="BO1035" s="35"/>
      <c r="BP1035" s="35"/>
      <c r="BQ1035" s="35"/>
      <c r="BR1035" s="35"/>
      <c r="BS1035" s="35"/>
      <c r="BT1035" s="35"/>
      <c r="BU1035" s="35"/>
      <c r="BV1035" s="35"/>
      <c r="BW1035" s="35"/>
      <c r="BX1035" s="35"/>
      <c r="BY1035" s="35"/>
      <c r="BZ1035" s="35"/>
      <c r="CA1035" s="35"/>
      <c r="CB1035" s="35"/>
      <c r="CC1035" s="35"/>
      <c r="CD1035" s="35"/>
      <c r="CE1035" s="35"/>
      <c r="CF1035" s="35"/>
      <c r="CG1035" s="35"/>
      <c r="CH1035" s="35"/>
      <c r="CI1035" s="35"/>
      <c r="CJ1035" s="35"/>
      <c r="CK1035" s="35"/>
      <c r="CL1035" s="35"/>
      <c r="CM1035" s="35"/>
      <c r="CN1035" s="35"/>
      <c r="CO1035" s="35"/>
      <c r="CP1035" s="35"/>
      <c r="CQ1035" s="35"/>
      <c r="CR1035" s="35"/>
      <c r="CS1035" s="35"/>
      <c r="CT1035" s="35"/>
      <c r="CU1035" s="35"/>
      <c r="CV1035" s="35"/>
      <c r="CW1035" s="35"/>
      <c r="CX1035" s="35"/>
      <c r="CY1035" s="35"/>
      <c r="CZ1035" s="35"/>
      <c r="DA1035" s="35"/>
      <c r="DB1035" s="35"/>
      <c r="DC1035" s="35"/>
      <c r="DD1035" s="35"/>
      <c r="DE1035" s="35"/>
      <c r="DF1035" s="35"/>
      <c r="DG1035" s="35"/>
      <c r="DH1035" s="35"/>
      <c r="DI1035" s="35"/>
      <c r="DJ1035" s="35"/>
      <c r="DK1035" s="35"/>
      <c r="DL1035" s="35"/>
      <c r="DM1035" s="35"/>
      <c r="DN1035" s="35"/>
      <c r="DO1035" s="35"/>
      <c r="DP1035" s="35"/>
      <c r="DQ1035" s="35"/>
      <c r="DR1035" s="35"/>
      <c r="DS1035" s="35"/>
      <c r="DT1035" s="35"/>
      <c r="DU1035" s="35"/>
      <c r="DV1035" s="35"/>
      <c r="DW1035" s="35"/>
      <c r="DX1035" s="35"/>
      <c r="DY1035" s="35"/>
      <c r="DZ1035" s="35"/>
      <c r="EA1035" s="35"/>
      <c r="EB1035" s="35"/>
      <c r="EC1035" s="35"/>
      <c r="ED1035" s="35"/>
      <c r="EE1035" s="35"/>
      <c r="EF1035" s="35"/>
      <c r="EG1035" s="35"/>
      <c r="EH1035" s="35"/>
      <c r="EI1035" s="35"/>
      <c r="EJ1035" s="35"/>
      <c r="EK1035" s="35"/>
      <c r="EL1035" s="35"/>
      <c r="EM1035" s="35"/>
      <c r="EN1035" s="35"/>
      <c r="EO1035" s="35"/>
      <c r="EP1035" s="35"/>
      <c r="EQ1035" s="35"/>
      <c r="ER1035" s="35"/>
      <c r="ES1035" s="35"/>
      <c r="ET1035" s="35"/>
      <c r="EU1035" s="35"/>
      <c r="EV1035" s="35"/>
      <c r="EW1035" s="35"/>
      <c r="EX1035" s="35"/>
      <c r="EY1035" s="35"/>
      <c r="EZ1035" s="35"/>
      <c r="FA1035" s="35"/>
      <c r="FB1035" s="35"/>
      <c r="FC1035" s="35"/>
      <c r="FD1035" s="35"/>
      <c r="FE1035" s="35"/>
      <c r="FF1035" s="35"/>
      <c r="FG1035" s="35"/>
      <c r="FH1035" s="35"/>
      <c r="FI1035" s="35"/>
      <c r="FJ1035" s="35"/>
      <c r="FK1035" s="35"/>
      <c r="FL1035" s="35"/>
      <c r="FM1035" s="35"/>
      <c r="FN1035" s="35"/>
      <c r="FO1035" s="35"/>
      <c r="FP1035" s="35"/>
      <c r="FQ1035" s="35"/>
    </row>
    <row r="1036" spans="1:173" s="49" customFormat="1" ht="37.5" customHeight="1">
      <c r="A1036" s="131" t="s">
        <v>37</v>
      </c>
      <c r="B1036" s="103">
        <v>188</v>
      </c>
      <c r="C1036" s="87" t="s">
        <v>792</v>
      </c>
      <c r="D1036" s="87" t="s">
        <v>791</v>
      </c>
      <c r="E1036" s="87" t="s">
        <v>513</v>
      </c>
      <c r="F1036" s="87"/>
      <c r="G1036" s="88">
        <f>SUM(G1037)</f>
        <v>658.9</v>
      </c>
      <c r="H1036" s="88">
        <f>SUM(H1037)</f>
        <v>691.9</v>
      </c>
      <c r="I1036" s="88">
        <f>SUM(I1037)</f>
        <v>723.1</v>
      </c>
      <c r="J1036" s="42"/>
      <c r="K1036" s="35"/>
      <c r="L1036" s="35"/>
      <c r="M1036" s="36"/>
      <c r="N1036" s="35"/>
      <c r="O1036" s="35"/>
      <c r="P1036" s="35"/>
      <c r="Q1036" s="35"/>
      <c r="R1036" s="35"/>
      <c r="S1036" s="35"/>
      <c r="T1036" s="35"/>
      <c r="U1036" s="35"/>
      <c r="V1036" s="35"/>
      <c r="W1036" s="35"/>
      <c r="X1036" s="35"/>
      <c r="Y1036" s="35"/>
      <c r="Z1036" s="35"/>
      <c r="AA1036" s="35"/>
      <c r="AB1036" s="35"/>
      <c r="AC1036" s="35"/>
      <c r="AD1036" s="35"/>
      <c r="AE1036" s="35"/>
      <c r="AF1036" s="35"/>
      <c r="AG1036" s="35"/>
      <c r="AH1036" s="35"/>
      <c r="AI1036" s="35"/>
      <c r="AJ1036" s="35"/>
      <c r="AK1036" s="35"/>
      <c r="AL1036" s="35"/>
      <c r="AM1036" s="35"/>
      <c r="AN1036" s="35"/>
      <c r="AO1036" s="35"/>
      <c r="AP1036" s="35"/>
      <c r="AQ1036" s="35"/>
      <c r="AR1036" s="35"/>
      <c r="AS1036" s="35"/>
      <c r="AT1036" s="35"/>
      <c r="AU1036" s="35"/>
      <c r="AV1036" s="35"/>
      <c r="AW1036" s="35"/>
      <c r="AX1036" s="35"/>
      <c r="AY1036" s="35"/>
      <c r="AZ1036" s="35"/>
      <c r="BA1036" s="35"/>
      <c r="BB1036" s="35"/>
      <c r="BC1036" s="35"/>
      <c r="BD1036" s="35"/>
      <c r="BE1036" s="35"/>
      <c r="BF1036" s="35"/>
      <c r="BG1036" s="35"/>
      <c r="BH1036" s="35"/>
      <c r="BI1036" s="35"/>
      <c r="BJ1036" s="35"/>
      <c r="BK1036" s="35"/>
      <c r="BL1036" s="35"/>
      <c r="BM1036" s="35"/>
      <c r="BN1036" s="35"/>
      <c r="BO1036" s="35"/>
      <c r="BP1036" s="35"/>
      <c r="BQ1036" s="35"/>
      <c r="BR1036" s="35"/>
      <c r="BS1036" s="35"/>
      <c r="BT1036" s="35"/>
      <c r="BU1036" s="35"/>
      <c r="BV1036" s="35"/>
      <c r="BW1036" s="35"/>
      <c r="BX1036" s="35"/>
      <c r="BY1036" s="35"/>
      <c r="BZ1036" s="35"/>
      <c r="CA1036" s="35"/>
      <c r="CB1036" s="35"/>
      <c r="CC1036" s="35"/>
      <c r="CD1036" s="35"/>
      <c r="CE1036" s="35"/>
      <c r="CF1036" s="35"/>
      <c r="CG1036" s="35"/>
      <c r="CH1036" s="35"/>
      <c r="CI1036" s="35"/>
      <c r="CJ1036" s="35"/>
      <c r="CK1036" s="35"/>
      <c r="CL1036" s="35"/>
      <c r="CM1036" s="35"/>
      <c r="CN1036" s="35"/>
      <c r="CO1036" s="35"/>
      <c r="CP1036" s="35"/>
      <c r="CQ1036" s="35"/>
      <c r="CR1036" s="35"/>
      <c r="CS1036" s="35"/>
      <c r="CT1036" s="35"/>
      <c r="CU1036" s="35"/>
      <c r="CV1036" s="35"/>
      <c r="CW1036" s="35"/>
      <c r="CX1036" s="35"/>
      <c r="CY1036" s="35"/>
      <c r="CZ1036" s="35"/>
      <c r="DA1036" s="35"/>
      <c r="DB1036" s="35"/>
      <c r="DC1036" s="35"/>
      <c r="DD1036" s="35"/>
      <c r="DE1036" s="35"/>
      <c r="DF1036" s="35"/>
      <c r="DG1036" s="35"/>
      <c r="DH1036" s="35"/>
      <c r="DI1036" s="35"/>
      <c r="DJ1036" s="35"/>
      <c r="DK1036" s="35"/>
      <c r="DL1036" s="35"/>
      <c r="DM1036" s="35"/>
      <c r="DN1036" s="35"/>
      <c r="DO1036" s="35"/>
      <c r="DP1036" s="35"/>
      <c r="DQ1036" s="35"/>
      <c r="DR1036" s="35"/>
      <c r="DS1036" s="35"/>
      <c r="DT1036" s="35"/>
      <c r="DU1036" s="35"/>
      <c r="DV1036" s="35"/>
      <c r="DW1036" s="35"/>
      <c r="DX1036" s="35"/>
      <c r="DY1036" s="35"/>
      <c r="DZ1036" s="35"/>
      <c r="EA1036" s="35"/>
      <c r="EB1036" s="35"/>
      <c r="EC1036" s="35"/>
      <c r="ED1036" s="35"/>
      <c r="EE1036" s="35"/>
      <c r="EF1036" s="35"/>
      <c r="EG1036" s="35"/>
      <c r="EH1036" s="35"/>
      <c r="EI1036" s="35"/>
      <c r="EJ1036" s="35"/>
      <c r="EK1036" s="35"/>
      <c r="EL1036" s="35"/>
      <c r="EM1036" s="35"/>
      <c r="EN1036" s="35"/>
      <c r="EO1036" s="35"/>
      <c r="EP1036" s="35"/>
      <c r="EQ1036" s="35"/>
      <c r="ER1036" s="35"/>
      <c r="ES1036" s="35"/>
      <c r="ET1036" s="35"/>
      <c r="EU1036" s="35"/>
      <c r="EV1036" s="35"/>
      <c r="EW1036" s="35"/>
      <c r="EX1036" s="35"/>
      <c r="EY1036" s="35"/>
      <c r="EZ1036" s="35"/>
      <c r="FA1036" s="35"/>
      <c r="FB1036" s="35"/>
      <c r="FC1036" s="35"/>
      <c r="FD1036" s="35"/>
      <c r="FE1036" s="35"/>
      <c r="FF1036" s="35"/>
      <c r="FG1036" s="35"/>
      <c r="FH1036" s="35"/>
      <c r="FI1036" s="35"/>
      <c r="FJ1036" s="35"/>
      <c r="FK1036" s="35"/>
      <c r="FL1036" s="35"/>
      <c r="FM1036" s="35"/>
      <c r="FN1036" s="35"/>
      <c r="FO1036" s="35"/>
      <c r="FP1036" s="35"/>
      <c r="FQ1036" s="35"/>
    </row>
    <row r="1037" spans="1:173" s="62" customFormat="1" ht="16.5">
      <c r="A1037" s="140" t="s">
        <v>541</v>
      </c>
      <c r="B1037" s="108">
        <v>188</v>
      </c>
      <c r="C1037" s="109" t="s">
        <v>792</v>
      </c>
      <c r="D1037" s="109" t="s">
        <v>791</v>
      </c>
      <c r="E1037" s="109" t="s">
        <v>513</v>
      </c>
      <c r="F1037" s="109" t="s">
        <v>51</v>
      </c>
      <c r="G1037" s="110">
        <v>658.9</v>
      </c>
      <c r="H1037" s="110">
        <v>691.9</v>
      </c>
      <c r="I1037" s="110">
        <v>723.1</v>
      </c>
      <c r="J1037" s="59"/>
      <c r="K1037" s="60"/>
      <c r="L1037" s="60"/>
      <c r="M1037" s="61"/>
      <c r="N1037" s="60"/>
      <c r="O1037" s="60"/>
      <c r="P1037" s="60"/>
      <c r="Q1037" s="60"/>
      <c r="R1037" s="60"/>
      <c r="S1037" s="60"/>
      <c r="T1037" s="60"/>
      <c r="U1037" s="60"/>
      <c r="V1037" s="60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0"/>
      <c r="AK1037" s="60"/>
      <c r="AL1037" s="60"/>
      <c r="AM1037" s="60"/>
      <c r="AN1037" s="60"/>
      <c r="AO1037" s="60"/>
      <c r="AP1037" s="60"/>
      <c r="AQ1037" s="60"/>
      <c r="AR1037" s="60"/>
      <c r="AS1037" s="60"/>
      <c r="AT1037" s="60"/>
      <c r="AU1037" s="60"/>
      <c r="AV1037" s="60"/>
      <c r="AW1037" s="60"/>
      <c r="AX1037" s="60"/>
      <c r="AY1037" s="60"/>
      <c r="AZ1037" s="60"/>
      <c r="BA1037" s="60"/>
      <c r="BB1037" s="60"/>
      <c r="BC1037" s="60"/>
      <c r="BD1037" s="60"/>
      <c r="BE1037" s="60"/>
      <c r="BF1037" s="60"/>
      <c r="BG1037" s="60"/>
      <c r="BH1037" s="60"/>
      <c r="BI1037" s="60"/>
      <c r="BJ1037" s="60"/>
      <c r="BK1037" s="60"/>
      <c r="BL1037" s="60"/>
      <c r="BM1037" s="60"/>
      <c r="BN1037" s="60"/>
      <c r="BO1037" s="60"/>
      <c r="BP1037" s="60"/>
      <c r="BQ1037" s="60"/>
      <c r="BR1037" s="60"/>
      <c r="BS1037" s="60"/>
      <c r="BT1037" s="60"/>
      <c r="BU1037" s="60"/>
      <c r="BV1037" s="60"/>
      <c r="BW1037" s="60"/>
      <c r="BX1037" s="60"/>
      <c r="BY1037" s="60"/>
      <c r="BZ1037" s="60"/>
      <c r="CA1037" s="60"/>
      <c r="CB1037" s="60"/>
      <c r="CC1037" s="60"/>
      <c r="CD1037" s="60"/>
      <c r="CE1037" s="60"/>
      <c r="CF1037" s="60"/>
      <c r="CG1037" s="60"/>
      <c r="CH1037" s="60"/>
      <c r="CI1037" s="60"/>
      <c r="CJ1037" s="60"/>
      <c r="CK1037" s="60"/>
      <c r="CL1037" s="60"/>
      <c r="CM1037" s="60"/>
      <c r="CN1037" s="60"/>
      <c r="CO1037" s="60"/>
      <c r="CP1037" s="60"/>
      <c r="CQ1037" s="60"/>
      <c r="CR1037" s="60"/>
      <c r="CS1037" s="60"/>
      <c r="CT1037" s="60"/>
      <c r="CU1037" s="60"/>
      <c r="CV1037" s="60"/>
      <c r="CW1037" s="60"/>
      <c r="CX1037" s="60"/>
      <c r="CY1037" s="60"/>
      <c r="CZ1037" s="60"/>
      <c r="DA1037" s="60"/>
      <c r="DB1037" s="60"/>
      <c r="DC1037" s="60"/>
      <c r="DD1037" s="60"/>
      <c r="DE1037" s="60"/>
      <c r="DF1037" s="60"/>
      <c r="DG1037" s="60"/>
      <c r="DH1037" s="60"/>
      <c r="DI1037" s="60"/>
      <c r="DJ1037" s="60"/>
      <c r="DK1037" s="60"/>
      <c r="DL1037" s="60"/>
      <c r="DM1037" s="60"/>
      <c r="DN1037" s="60"/>
      <c r="DO1037" s="60"/>
      <c r="DP1037" s="60"/>
      <c r="DQ1037" s="60"/>
      <c r="DR1037" s="60"/>
      <c r="DS1037" s="60"/>
      <c r="DT1037" s="60"/>
      <c r="DU1037" s="60"/>
      <c r="DV1037" s="60"/>
      <c r="DW1037" s="60"/>
      <c r="DX1037" s="60"/>
      <c r="DY1037" s="60"/>
      <c r="DZ1037" s="60"/>
      <c r="EA1037" s="60"/>
      <c r="EB1037" s="60"/>
      <c r="EC1037" s="60"/>
      <c r="ED1037" s="60"/>
      <c r="EE1037" s="60"/>
      <c r="EF1037" s="60"/>
      <c r="EG1037" s="60"/>
      <c r="EH1037" s="60"/>
      <c r="EI1037" s="60"/>
      <c r="EJ1037" s="60"/>
      <c r="EK1037" s="60"/>
      <c r="EL1037" s="60"/>
      <c r="EM1037" s="60"/>
      <c r="EN1037" s="60"/>
      <c r="EO1037" s="60"/>
      <c r="EP1037" s="60"/>
      <c r="EQ1037" s="60"/>
      <c r="ER1037" s="60"/>
      <c r="ES1037" s="60"/>
      <c r="ET1037" s="60"/>
      <c r="EU1037" s="60"/>
      <c r="EV1037" s="60"/>
      <c r="EW1037" s="60"/>
      <c r="EX1037" s="60"/>
      <c r="EY1037" s="60"/>
      <c r="EZ1037" s="60"/>
      <c r="FA1037" s="60"/>
      <c r="FB1037" s="60"/>
      <c r="FC1037" s="60"/>
      <c r="FD1037" s="60"/>
      <c r="FE1037" s="60"/>
      <c r="FF1037" s="60"/>
      <c r="FG1037" s="60"/>
      <c r="FH1037" s="60"/>
      <c r="FI1037" s="60"/>
      <c r="FJ1037" s="60"/>
      <c r="FK1037" s="60"/>
      <c r="FL1037" s="60"/>
      <c r="FM1037" s="60"/>
      <c r="FN1037" s="60"/>
      <c r="FO1037" s="60"/>
      <c r="FP1037" s="60"/>
      <c r="FQ1037" s="60"/>
    </row>
    <row r="1038" spans="1:173" s="63" customFormat="1" ht="16.5">
      <c r="A1038" s="144" t="s">
        <v>783</v>
      </c>
      <c r="B1038" s="113"/>
      <c r="C1038" s="113"/>
      <c r="D1038" s="113"/>
      <c r="E1038" s="113"/>
      <c r="F1038" s="113"/>
      <c r="G1038" s="114">
        <f>SUM(G16,G157,G180,G254,G272,G406,G503,G543,G639,G711,G784,G817,G844,G1024)</f>
        <v>5997705.400000001</v>
      </c>
      <c r="H1038" s="154">
        <f>SUM(H16,H157,H180,H254,H272,H406,H503,H543,H639,H711,H784,H817,H844,H1024)</f>
        <v>5170957.8</v>
      </c>
      <c r="I1038" s="154">
        <f>SUM(I16,I157,I180,I254,I272,I406,I503,I543,I639,I711,I784,I817,I844,I1024)</f>
        <v>4832155.399999999</v>
      </c>
      <c r="J1038" s="59"/>
      <c r="K1038" s="60"/>
      <c r="L1038" s="60"/>
      <c r="M1038" s="61"/>
      <c r="N1038" s="60"/>
      <c r="O1038" s="60"/>
      <c r="P1038" s="60"/>
      <c r="Q1038" s="60"/>
      <c r="R1038" s="60"/>
      <c r="S1038" s="60"/>
      <c r="T1038" s="60"/>
      <c r="U1038" s="60"/>
      <c r="V1038" s="60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0"/>
      <c r="AK1038" s="60"/>
      <c r="AL1038" s="60"/>
      <c r="AM1038" s="60"/>
      <c r="AN1038" s="60"/>
      <c r="AO1038" s="60"/>
      <c r="AP1038" s="60"/>
      <c r="AQ1038" s="60"/>
      <c r="AR1038" s="60"/>
      <c r="AS1038" s="60"/>
      <c r="AT1038" s="60"/>
      <c r="AU1038" s="60"/>
      <c r="AV1038" s="60"/>
      <c r="AW1038" s="60"/>
      <c r="AX1038" s="60"/>
      <c r="AY1038" s="60"/>
      <c r="AZ1038" s="60"/>
      <c r="BA1038" s="60"/>
      <c r="BB1038" s="60"/>
      <c r="BC1038" s="60"/>
      <c r="BD1038" s="60"/>
      <c r="BE1038" s="60"/>
      <c r="BF1038" s="60"/>
      <c r="BG1038" s="60"/>
      <c r="BH1038" s="60"/>
      <c r="BI1038" s="60"/>
      <c r="BJ1038" s="60"/>
      <c r="BK1038" s="60"/>
      <c r="BL1038" s="60"/>
      <c r="BM1038" s="60"/>
      <c r="BN1038" s="60"/>
      <c r="BO1038" s="60"/>
      <c r="BP1038" s="60"/>
      <c r="BQ1038" s="60"/>
      <c r="BR1038" s="60"/>
      <c r="BS1038" s="60"/>
      <c r="BT1038" s="60"/>
      <c r="BU1038" s="60"/>
      <c r="BV1038" s="60"/>
      <c r="BW1038" s="60"/>
      <c r="BX1038" s="60"/>
      <c r="BY1038" s="60"/>
      <c r="BZ1038" s="60"/>
      <c r="CA1038" s="60"/>
      <c r="CB1038" s="60"/>
      <c r="CC1038" s="60"/>
      <c r="CD1038" s="60"/>
      <c r="CE1038" s="60"/>
      <c r="CF1038" s="60"/>
      <c r="CG1038" s="60"/>
      <c r="CH1038" s="60"/>
      <c r="CI1038" s="60"/>
      <c r="CJ1038" s="60"/>
      <c r="CK1038" s="60"/>
      <c r="CL1038" s="60"/>
      <c r="CM1038" s="60"/>
      <c r="CN1038" s="60"/>
      <c r="CO1038" s="60"/>
      <c r="CP1038" s="60"/>
      <c r="CQ1038" s="60"/>
      <c r="CR1038" s="60"/>
      <c r="CS1038" s="60"/>
      <c r="CT1038" s="60"/>
      <c r="CU1038" s="60"/>
      <c r="CV1038" s="60"/>
      <c r="CW1038" s="60"/>
      <c r="CX1038" s="60"/>
      <c r="CY1038" s="60"/>
      <c r="CZ1038" s="60"/>
      <c r="DA1038" s="60"/>
      <c r="DB1038" s="60"/>
      <c r="DC1038" s="60"/>
      <c r="DD1038" s="60"/>
      <c r="DE1038" s="60"/>
      <c r="DF1038" s="60"/>
      <c r="DG1038" s="60"/>
      <c r="DH1038" s="60"/>
      <c r="DI1038" s="60"/>
      <c r="DJ1038" s="60"/>
      <c r="DK1038" s="60"/>
      <c r="DL1038" s="60"/>
      <c r="DM1038" s="60"/>
      <c r="DN1038" s="60"/>
      <c r="DO1038" s="60"/>
      <c r="DP1038" s="60"/>
      <c r="DQ1038" s="60"/>
      <c r="DR1038" s="60"/>
      <c r="DS1038" s="60"/>
      <c r="DT1038" s="60"/>
      <c r="DU1038" s="60"/>
      <c r="DV1038" s="60"/>
      <c r="DW1038" s="60"/>
      <c r="DX1038" s="60"/>
      <c r="DY1038" s="60"/>
      <c r="DZ1038" s="60"/>
      <c r="EA1038" s="60"/>
      <c r="EB1038" s="60"/>
      <c r="EC1038" s="60"/>
      <c r="ED1038" s="60"/>
      <c r="EE1038" s="60"/>
      <c r="EF1038" s="60"/>
      <c r="EG1038" s="60"/>
      <c r="EH1038" s="60"/>
      <c r="EI1038" s="60"/>
      <c r="EJ1038" s="60"/>
      <c r="EK1038" s="60"/>
      <c r="EL1038" s="60"/>
      <c r="EM1038" s="60"/>
      <c r="EN1038" s="60"/>
      <c r="EO1038" s="60"/>
      <c r="EP1038" s="60"/>
      <c r="EQ1038" s="60"/>
      <c r="ER1038" s="60"/>
      <c r="ES1038" s="60"/>
      <c r="ET1038" s="60"/>
      <c r="EU1038" s="60"/>
      <c r="EV1038" s="60"/>
      <c r="EW1038" s="60"/>
      <c r="EX1038" s="60"/>
      <c r="EY1038" s="60"/>
      <c r="EZ1038" s="60"/>
      <c r="FA1038" s="60"/>
      <c r="FB1038" s="60"/>
      <c r="FC1038" s="60"/>
      <c r="FD1038" s="60"/>
      <c r="FE1038" s="60"/>
      <c r="FF1038" s="60"/>
      <c r="FG1038" s="60"/>
      <c r="FH1038" s="60"/>
      <c r="FI1038" s="60"/>
      <c r="FJ1038" s="60"/>
      <c r="FK1038" s="60"/>
      <c r="FL1038" s="60"/>
      <c r="FM1038" s="60"/>
      <c r="FN1038" s="60"/>
      <c r="FO1038" s="60"/>
      <c r="FP1038" s="60"/>
      <c r="FQ1038" s="60"/>
    </row>
    <row r="1039" spans="1:13" s="60" customFormat="1" ht="16.5">
      <c r="A1039" s="144" t="s">
        <v>8</v>
      </c>
      <c r="B1039" s="113"/>
      <c r="C1039" s="113"/>
      <c r="D1039" s="113"/>
      <c r="E1039" s="113"/>
      <c r="F1039" s="113"/>
      <c r="G1039" s="114"/>
      <c r="H1039" s="154">
        <f>1107349.7+11076.2+46.1</f>
        <v>1118472</v>
      </c>
      <c r="I1039" s="154">
        <f>1129472.6+4148.3+46.1</f>
        <v>1133667.0000000002</v>
      </c>
      <c r="J1039" s="59"/>
      <c r="M1039" s="61"/>
    </row>
    <row r="1040" spans="1:13" s="60" customFormat="1" ht="15" customHeight="1">
      <c r="A1040" s="144" t="s">
        <v>9</v>
      </c>
      <c r="B1040" s="113"/>
      <c r="C1040" s="113"/>
      <c r="D1040" s="113"/>
      <c r="E1040" s="113"/>
      <c r="F1040" s="113"/>
      <c r="G1040" s="114"/>
      <c r="H1040" s="154">
        <f>H1038+H1039</f>
        <v>6289429.8</v>
      </c>
      <c r="I1040" s="154">
        <f>I1038+I1039</f>
        <v>5965822.399999999</v>
      </c>
      <c r="J1040" s="59"/>
      <c r="M1040" s="61"/>
    </row>
    <row r="1041" spans="1:173" s="49" customFormat="1" ht="12.75" hidden="1">
      <c r="A1041" s="149"/>
      <c r="B1041" s="64"/>
      <c r="C1041" s="64"/>
      <c r="D1041" s="64"/>
      <c r="E1041" s="64"/>
      <c r="F1041" s="64"/>
      <c r="G1041" s="65"/>
      <c r="H1041" s="65"/>
      <c r="I1041" s="65"/>
      <c r="J1041" s="42"/>
      <c r="K1041" s="35"/>
      <c r="L1041" s="35"/>
      <c r="M1041" s="36"/>
      <c r="N1041" s="35"/>
      <c r="O1041" s="35"/>
      <c r="P1041" s="35"/>
      <c r="Q1041" s="35"/>
      <c r="R1041" s="35"/>
      <c r="S1041" s="35"/>
      <c r="T1041" s="35"/>
      <c r="U1041" s="35"/>
      <c r="V1041" s="35"/>
      <c r="W1041" s="35"/>
      <c r="X1041" s="35"/>
      <c r="Y1041" s="35"/>
      <c r="Z1041" s="35"/>
      <c r="AA1041" s="35"/>
      <c r="AB1041" s="35"/>
      <c r="AC1041" s="35"/>
      <c r="AD1041" s="35"/>
      <c r="AE1041" s="35"/>
      <c r="AF1041" s="35"/>
      <c r="AG1041" s="35"/>
      <c r="AH1041" s="35"/>
      <c r="AI1041" s="35"/>
      <c r="AJ1041" s="35"/>
      <c r="AK1041" s="35"/>
      <c r="AL1041" s="35"/>
      <c r="AM1041" s="35"/>
      <c r="AN1041" s="35"/>
      <c r="AO1041" s="35"/>
      <c r="AP1041" s="35"/>
      <c r="AQ1041" s="35"/>
      <c r="AR1041" s="35"/>
      <c r="AS1041" s="35"/>
      <c r="AT1041" s="35"/>
      <c r="AU1041" s="35"/>
      <c r="AV1041" s="35"/>
      <c r="AW1041" s="35"/>
      <c r="AX1041" s="35"/>
      <c r="AY1041" s="35"/>
      <c r="AZ1041" s="35"/>
      <c r="BA1041" s="35"/>
      <c r="BB1041" s="35"/>
      <c r="BC1041" s="35"/>
      <c r="BD1041" s="35"/>
      <c r="BE1041" s="35"/>
      <c r="BF1041" s="35"/>
      <c r="BG1041" s="35"/>
      <c r="BH1041" s="35"/>
      <c r="BI1041" s="35"/>
      <c r="BJ1041" s="35"/>
      <c r="BK1041" s="35"/>
      <c r="BL1041" s="35"/>
      <c r="BM1041" s="35"/>
      <c r="BN1041" s="35"/>
      <c r="BO1041" s="35"/>
      <c r="BP1041" s="35"/>
      <c r="BQ1041" s="35"/>
      <c r="BR1041" s="35"/>
      <c r="BS1041" s="35"/>
      <c r="BT1041" s="35"/>
      <c r="BU1041" s="35"/>
      <c r="BV1041" s="35"/>
      <c r="BW1041" s="35"/>
      <c r="BX1041" s="35"/>
      <c r="BY1041" s="35"/>
      <c r="BZ1041" s="35"/>
      <c r="CA1041" s="35"/>
      <c r="CB1041" s="35"/>
      <c r="CC1041" s="35"/>
      <c r="CD1041" s="35"/>
      <c r="CE1041" s="35"/>
      <c r="CF1041" s="35"/>
      <c r="CG1041" s="35"/>
      <c r="CH1041" s="35"/>
      <c r="CI1041" s="35"/>
      <c r="CJ1041" s="35"/>
      <c r="CK1041" s="35"/>
      <c r="CL1041" s="35"/>
      <c r="CM1041" s="35"/>
      <c r="CN1041" s="35"/>
      <c r="CO1041" s="35"/>
      <c r="CP1041" s="35"/>
      <c r="CQ1041" s="35"/>
      <c r="CR1041" s="35"/>
      <c r="CS1041" s="35"/>
      <c r="CT1041" s="35"/>
      <c r="CU1041" s="35"/>
      <c r="CV1041" s="35"/>
      <c r="CW1041" s="35"/>
      <c r="CX1041" s="35"/>
      <c r="CY1041" s="35"/>
      <c r="CZ1041" s="35"/>
      <c r="DA1041" s="35"/>
      <c r="DB1041" s="35"/>
      <c r="DC1041" s="35"/>
      <c r="DD1041" s="35"/>
      <c r="DE1041" s="35"/>
      <c r="DF1041" s="35"/>
      <c r="DG1041" s="35"/>
      <c r="DH1041" s="35"/>
      <c r="DI1041" s="35"/>
      <c r="DJ1041" s="35"/>
      <c r="DK1041" s="35"/>
      <c r="DL1041" s="35"/>
      <c r="DM1041" s="35"/>
      <c r="DN1041" s="35"/>
      <c r="DO1041" s="35"/>
      <c r="DP1041" s="35"/>
      <c r="DQ1041" s="35"/>
      <c r="DR1041" s="35"/>
      <c r="DS1041" s="35"/>
      <c r="DT1041" s="35"/>
      <c r="DU1041" s="35"/>
      <c r="DV1041" s="35"/>
      <c r="DW1041" s="35"/>
      <c r="DX1041" s="35"/>
      <c r="DY1041" s="35"/>
      <c r="DZ1041" s="35"/>
      <c r="EA1041" s="35"/>
      <c r="EB1041" s="35"/>
      <c r="EC1041" s="35"/>
      <c r="ED1041" s="35"/>
      <c r="EE1041" s="35"/>
      <c r="EF1041" s="35"/>
      <c r="EG1041" s="35"/>
      <c r="EH1041" s="35"/>
      <c r="EI1041" s="35"/>
      <c r="EJ1041" s="35"/>
      <c r="EK1041" s="35"/>
      <c r="EL1041" s="35"/>
      <c r="EM1041" s="35"/>
      <c r="EN1041" s="35"/>
      <c r="EO1041" s="35"/>
      <c r="EP1041" s="35"/>
      <c r="EQ1041" s="35"/>
      <c r="ER1041" s="35"/>
      <c r="ES1041" s="35"/>
      <c r="ET1041" s="35"/>
      <c r="EU1041" s="35"/>
      <c r="EV1041" s="35"/>
      <c r="EW1041" s="35"/>
      <c r="EX1041" s="35"/>
      <c r="EY1041" s="35"/>
      <c r="EZ1041" s="35"/>
      <c r="FA1041" s="35"/>
      <c r="FB1041" s="35"/>
      <c r="FC1041" s="35"/>
      <c r="FD1041" s="35"/>
      <c r="FE1041" s="35"/>
      <c r="FF1041" s="35"/>
      <c r="FG1041" s="35"/>
      <c r="FH1041" s="35"/>
      <c r="FI1041" s="35"/>
      <c r="FJ1041" s="35"/>
      <c r="FK1041" s="35"/>
      <c r="FL1041" s="35"/>
      <c r="FM1041" s="35"/>
      <c r="FN1041" s="35"/>
      <c r="FO1041" s="35"/>
      <c r="FP1041" s="35"/>
      <c r="FQ1041" s="35"/>
    </row>
    <row r="1042" spans="1:29" ht="1.5" customHeight="1" hidden="1">
      <c r="A1042" s="35"/>
      <c r="B1042" s="66"/>
      <c r="C1042" s="66"/>
      <c r="D1042" s="66"/>
      <c r="E1042" s="66"/>
      <c r="F1042" s="67"/>
      <c r="G1042" s="68">
        <f>3928410.6+14352.6</f>
        <v>3942763.2</v>
      </c>
      <c r="H1042" s="68">
        <v>3019915.5</v>
      </c>
      <c r="I1042" s="68">
        <v>3096997.6</v>
      </c>
      <c r="J1042" s="42"/>
      <c r="K1042" s="42"/>
      <c r="L1042" s="35"/>
      <c r="M1042" s="36"/>
      <c r="N1042" s="35"/>
      <c r="O1042" s="35"/>
      <c r="P1042" s="35"/>
      <c r="Q1042" s="35"/>
      <c r="R1042" s="35"/>
      <c r="S1042" s="35"/>
      <c r="T1042" s="35"/>
      <c r="U1042" s="35"/>
      <c r="V1042" s="35"/>
      <c r="W1042" s="35"/>
      <c r="X1042" s="35"/>
      <c r="Y1042" s="35"/>
      <c r="Z1042" s="35"/>
      <c r="AA1042" s="35"/>
      <c r="AB1042" s="35"/>
      <c r="AC1042" s="35"/>
    </row>
    <row r="1043" spans="1:29" ht="12.75" hidden="1">
      <c r="A1043" s="35"/>
      <c r="B1043" s="66"/>
      <c r="C1043" s="66"/>
      <c r="D1043" s="66"/>
      <c r="E1043" s="66"/>
      <c r="F1043" s="66" t="s">
        <v>288</v>
      </c>
      <c r="G1043" s="36">
        <f>12000+543558.9+10000+9163.1+546685.8+20923+168590+6423.6+267004.5+938.8+300+363+23212.2+37262.6+41790+2472.5+14347.1+7905.5+87813+1418.3+700+804.5+5649.5+5305+4179.7+6962.5+1455+2212.9+17318.3+75+168+4880.8+323399.6+1110087.1+244.8+255234.1+18005.1+26875+287230.9+1428.6+32768.4+300+7742.6+921.8+11914.3+375.2+14352.6</f>
        <v>3942763.2</v>
      </c>
      <c r="H1043" s="36">
        <f>15000+522760.9+10000+5655.7+6500+259500.4+981.4+300+23339.6+34713+33992.6+177.5+7923.5+53225+844.8+990+2852.5+4407.5+5740+4732.4+1064.7+2331+7740.3+75+4980.4+252542.2+1116998.3+101.2+238473.2+50000+272917.5+1428.6+30141.7+17769.3+17690+33.6+11991.7-46.1</f>
        <v>3019869.400000001</v>
      </c>
      <c r="I1043" s="36">
        <f>15000+550418.5+10000+5078.9+6500+260022.8+1023.7+300+23440.1+35020.4+34376.9+177.5+8120.9+54975.6+882.8+990+6212+6570+8271.6+1130+2774+8208.3+5082.4+262569.4+1146110.9+241871.7+50000+280867.5+1428.6+30286+19082.4+3932+320+3961+11991.7-46.1</f>
        <v>3096951.5000000005</v>
      </c>
      <c r="J1043" s="42"/>
      <c r="K1043" s="42"/>
      <c r="L1043" s="35"/>
      <c r="M1043" s="36"/>
      <c r="N1043" s="35"/>
      <c r="O1043" s="35"/>
      <c r="P1043" s="35"/>
      <c r="Q1043" s="35"/>
      <c r="R1043" s="35"/>
      <c r="S1043" s="35"/>
      <c r="T1043" s="35"/>
      <c r="U1043" s="35"/>
      <c r="V1043" s="35"/>
      <c r="W1043" s="35"/>
      <c r="X1043" s="35"/>
      <c r="Y1043" s="35"/>
      <c r="Z1043" s="35"/>
      <c r="AA1043" s="35"/>
      <c r="AB1043" s="35"/>
      <c r="AC1043" s="35"/>
    </row>
    <row r="1044" spans="1:29" ht="12.75" hidden="1">
      <c r="A1044" s="35"/>
      <c r="B1044" s="66"/>
      <c r="C1044" s="66"/>
      <c r="D1044" s="66"/>
      <c r="E1044" s="66"/>
      <c r="F1044" s="66" t="s">
        <v>203</v>
      </c>
      <c r="G1044" s="36">
        <f>1627.2+11364.9+2500+23000.4+3383+100000+167457.9+200+208257.8+35902+645850.8+123855.7+6391.3+1743.7+529777.6+356.4+19131+47937+2573+2744.6+70409.6+43799.9+3493.2+1976.8+838.2+370.2</f>
        <v>2054942.1999999997</v>
      </c>
      <c r="H1044" s="36">
        <f>1757+8282.2+2700+26065.4+190+100000+430786.4+221757.3+34106.9+515090.6+907+117659.3+6071.6+1656.5+503288.7+338.6+19131+47937+2727.4+2607.4+62246.4+41609.9+3318.5+796.3+57</f>
        <v>2151088.4</v>
      </c>
      <c r="I1044" s="36">
        <f>1545.3+8282.2+3882.4+385+100000+16653.6+550+235136.2+34106.9+514875.4+6599.9+117659.3+6071.6+1656.5+503288.7+338.6+19131+47937+2874.7+2607.4+62246.4+41609.9+3318.5+3363.6+796.3+287.5</f>
        <v>1735203.9</v>
      </c>
      <c r="J1044" s="35"/>
      <c r="K1044" s="35"/>
      <c r="L1044" s="35"/>
      <c r="M1044" s="36"/>
      <c r="N1044" s="35"/>
      <c r="O1044" s="35"/>
      <c r="P1044" s="35"/>
      <c r="Q1044" s="35"/>
      <c r="R1044" s="35"/>
      <c r="S1044" s="35"/>
      <c r="T1044" s="35"/>
      <c r="U1044" s="35"/>
      <c r="V1044" s="35"/>
      <c r="W1044" s="35"/>
      <c r="X1044" s="35"/>
      <c r="Y1044" s="35"/>
      <c r="Z1044" s="35"/>
      <c r="AA1044" s="35"/>
      <c r="AB1044" s="35"/>
      <c r="AC1044" s="35"/>
    </row>
    <row r="1045" spans="1:29" ht="12.75" hidden="1">
      <c r="A1045" s="35"/>
      <c r="B1045" s="66"/>
      <c r="C1045" s="66"/>
      <c r="D1045" s="66"/>
      <c r="E1045" s="66"/>
      <c r="F1045" s="66" t="s">
        <v>107</v>
      </c>
      <c r="G1045" s="36">
        <f>G1043-G1038+G1044</f>
        <v>0</v>
      </c>
      <c r="H1045" s="36">
        <f>H1043-H1038+H1044</f>
        <v>0</v>
      </c>
      <c r="I1045" s="36">
        <f>I1043-I1038+I1044</f>
        <v>0</v>
      </c>
      <c r="J1045" s="35"/>
      <c r="K1045" s="35"/>
      <c r="L1045" s="35"/>
      <c r="M1045" s="36"/>
      <c r="N1045" s="35"/>
      <c r="O1045" s="35"/>
      <c r="P1045" s="35"/>
      <c r="Q1045" s="35"/>
      <c r="R1045" s="35"/>
      <c r="S1045" s="35"/>
      <c r="T1045" s="35"/>
      <c r="U1045" s="35"/>
      <c r="V1045" s="35"/>
      <c r="W1045" s="35"/>
      <c r="X1045" s="35"/>
      <c r="Y1045" s="35"/>
      <c r="Z1045" s="35"/>
      <c r="AA1045" s="35"/>
      <c r="AB1045" s="35"/>
      <c r="AC1045" s="35"/>
    </row>
    <row r="1046" spans="1:29" ht="12.75" hidden="1">
      <c r="A1046" s="35"/>
      <c r="B1046" s="66"/>
      <c r="C1046" s="66"/>
      <c r="D1046" s="66"/>
      <c r="E1046" s="66"/>
      <c r="F1046" s="66"/>
      <c r="G1046" s="36"/>
      <c r="H1046" s="36"/>
      <c r="I1046" s="36"/>
      <c r="J1046" s="35"/>
      <c r="K1046" s="35"/>
      <c r="L1046" s="35"/>
      <c r="M1046" s="36"/>
      <c r="N1046" s="35"/>
      <c r="O1046" s="35"/>
      <c r="P1046" s="35"/>
      <c r="Q1046" s="35"/>
      <c r="R1046" s="35"/>
      <c r="S1046" s="35"/>
      <c r="T1046" s="35"/>
      <c r="U1046" s="35"/>
      <c r="V1046" s="35"/>
      <c r="W1046" s="35"/>
      <c r="X1046" s="35"/>
      <c r="Y1046" s="35"/>
      <c r="Z1046" s="35"/>
      <c r="AA1046" s="35"/>
      <c r="AB1046" s="35"/>
      <c r="AC1046" s="35"/>
    </row>
    <row r="1047" spans="1:29" ht="12.75" hidden="1">
      <c r="A1047" s="35"/>
      <c r="B1047" s="66"/>
      <c r="C1047" s="66"/>
      <c r="D1047" s="66"/>
      <c r="E1047" s="66"/>
      <c r="F1047" s="66"/>
      <c r="G1047" s="36"/>
      <c r="H1047" s="36"/>
      <c r="I1047" s="36"/>
      <c r="J1047" s="35"/>
      <c r="K1047" s="35"/>
      <c r="L1047" s="35"/>
      <c r="M1047" s="36"/>
      <c r="N1047" s="35"/>
      <c r="O1047" s="35"/>
      <c r="P1047" s="35"/>
      <c r="Q1047" s="35"/>
      <c r="R1047" s="35"/>
      <c r="S1047" s="35"/>
      <c r="T1047" s="35"/>
      <c r="U1047" s="35"/>
      <c r="V1047" s="35"/>
      <c r="W1047" s="35"/>
      <c r="X1047" s="35"/>
      <c r="Y1047" s="35"/>
      <c r="Z1047" s="35"/>
      <c r="AA1047" s="35"/>
      <c r="AB1047" s="35"/>
      <c r="AC1047" s="35"/>
    </row>
    <row r="1048" spans="1:29" ht="12.75" hidden="1">
      <c r="A1048" s="35"/>
      <c r="B1048" s="66"/>
      <c r="C1048" s="66"/>
      <c r="D1048" s="66"/>
      <c r="E1048" s="66"/>
      <c r="F1048" s="66"/>
      <c r="G1048" s="36"/>
      <c r="H1048" s="36"/>
      <c r="I1048" s="36"/>
      <c r="J1048" s="35"/>
      <c r="K1048" s="35"/>
      <c r="L1048" s="35"/>
      <c r="M1048" s="36"/>
      <c r="N1048" s="35"/>
      <c r="O1048" s="35"/>
      <c r="P1048" s="35"/>
      <c r="Q1048" s="35"/>
      <c r="R1048" s="35"/>
      <c r="S1048" s="35"/>
      <c r="T1048" s="35"/>
      <c r="U1048" s="35"/>
      <c r="V1048" s="35"/>
      <c r="W1048" s="35"/>
      <c r="X1048" s="35"/>
      <c r="Y1048" s="35"/>
      <c r="Z1048" s="35"/>
      <c r="AA1048" s="35"/>
      <c r="AB1048" s="35"/>
      <c r="AC1048" s="35"/>
    </row>
    <row r="1049" spans="1:29" ht="12.75" hidden="1">
      <c r="A1049" s="35"/>
      <c r="B1049" s="66"/>
      <c r="C1049" s="66"/>
      <c r="D1049" s="66"/>
      <c r="E1049" s="66"/>
      <c r="F1049" s="66" t="s">
        <v>106</v>
      </c>
      <c r="G1049" s="36">
        <f>3928410.6</f>
        <v>3928410.6</v>
      </c>
      <c r="H1049" s="36">
        <f>'[1]расшифровка прогноза 2011'!$U$265</f>
        <v>3019869.400000001</v>
      </c>
      <c r="I1049" s="36">
        <f>'[1]расшифровка прогноза 2011'!$V$265</f>
        <v>3096951.5000000005</v>
      </c>
      <c r="J1049" s="35"/>
      <c r="K1049" s="35"/>
      <c r="L1049" s="35"/>
      <c r="M1049" s="36"/>
      <c r="N1049" s="35"/>
      <c r="O1049" s="35"/>
      <c r="P1049" s="35"/>
      <c r="Q1049" s="35"/>
      <c r="R1049" s="35"/>
      <c r="S1049" s="35"/>
      <c r="T1049" s="35"/>
      <c r="U1049" s="35"/>
      <c r="V1049" s="35"/>
      <c r="W1049" s="35"/>
      <c r="X1049" s="35"/>
      <c r="Y1049" s="35"/>
      <c r="Z1049" s="35"/>
      <c r="AA1049" s="35"/>
      <c r="AB1049" s="35"/>
      <c r="AC1049" s="35"/>
    </row>
    <row r="1050" spans="1:29" ht="12.75" hidden="1">
      <c r="A1050" s="35"/>
      <c r="B1050" s="66"/>
      <c r="C1050" s="66"/>
      <c r="D1050" s="66"/>
      <c r="E1050" s="66"/>
      <c r="F1050" s="66" t="s">
        <v>107</v>
      </c>
      <c r="G1050" s="36">
        <f>G1043-G1049</f>
        <v>14352.600000000093</v>
      </c>
      <c r="H1050" s="36">
        <f>H1043-H1049</f>
        <v>0</v>
      </c>
      <c r="I1050" s="36">
        <f>I1043-I1049</f>
        <v>0</v>
      </c>
      <c r="J1050" s="35"/>
      <c r="K1050" s="35"/>
      <c r="L1050" s="35"/>
      <c r="M1050" s="36"/>
      <c r="N1050" s="35"/>
      <c r="O1050" s="35"/>
      <c r="P1050" s="35"/>
      <c r="Q1050" s="35"/>
      <c r="R1050" s="35"/>
      <c r="S1050" s="35"/>
      <c r="T1050" s="35"/>
      <c r="U1050" s="35"/>
      <c r="V1050" s="35"/>
      <c r="W1050" s="35"/>
      <c r="X1050" s="35"/>
      <c r="Y1050" s="35"/>
      <c r="Z1050" s="35"/>
      <c r="AA1050" s="35"/>
      <c r="AB1050" s="35"/>
      <c r="AC1050" s="35"/>
    </row>
    <row r="1051" spans="1:29" ht="12.75" hidden="1">
      <c r="A1051" s="35"/>
      <c r="B1051" s="66"/>
      <c r="C1051" s="66"/>
      <c r="D1051" s="66"/>
      <c r="E1051" s="66"/>
      <c r="F1051" s="66"/>
      <c r="G1051" s="36"/>
      <c r="H1051" s="36"/>
      <c r="I1051" s="36"/>
      <c r="J1051" s="35"/>
      <c r="K1051" s="35"/>
      <c r="L1051" s="35"/>
      <c r="M1051" s="36"/>
      <c r="N1051" s="35"/>
      <c r="O1051" s="35"/>
      <c r="P1051" s="35"/>
      <c r="Q1051" s="35"/>
      <c r="R1051" s="35"/>
      <c r="S1051" s="35"/>
      <c r="T1051" s="35"/>
      <c r="U1051" s="35"/>
      <c r="V1051" s="35"/>
      <c r="W1051" s="35"/>
      <c r="X1051" s="35"/>
      <c r="Y1051" s="35"/>
      <c r="Z1051" s="35"/>
      <c r="AA1051" s="35"/>
      <c r="AB1051" s="35"/>
      <c r="AC1051" s="35"/>
    </row>
    <row r="1052" spans="1:29" ht="12.75" hidden="1">
      <c r="A1052" s="35"/>
      <c r="B1052" s="66"/>
      <c r="C1052" s="66"/>
      <c r="D1052" s="66"/>
      <c r="E1052" s="66"/>
      <c r="F1052" s="66"/>
      <c r="G1052" s="36">
        <f>2054942.2-G1044</f>
        <v>0</v>
      </c>
      <c r="H1052" s="36">
        <f>2151088.4-H1044</f>
        <v>0</v>
      </c>
      <c r="I1052" s="36">
        <f>1735203.9-I1044</f>
        <v>0</v>
      </c>
      <c r="J1052" s="35"/>
      <c r="K1052" s="35"/>
      <c r="L1052" s="35"/>
      <c r="M1052" s="36"/>
      <c r="N1052" s="35"/>
      <c r="O1052" s="35"/>
      <c r="P1052" s="35"/>
      <c r="Q1052" s="35"/>
      <c r="R1052" s="35"/>
      <c r="S1052" s="35"/>
      <c r="T1052" s="35"/>
      <c r="U1052" s="35"/>
      <c r="V1052" s="35"/>
      <c r="W1052" s="35"/>
      <c r="X1052" s="35"/>
      <c r="Y1052" s="35"/>
      <c r="Z1052" s="35"/>
      <c r="AA1052" s="35"/>
      <c r="AB1052" s="35"/>
      <c r="AC1052" s="35"/>
    </row>
    <row r="1053" spans="10:29" ht="12.75" hidden="1">
      <c r="J1053" s="35"/>
      <c r="K1053" s="35"/>
      <c r="L1053" s="35"/>
      <c r="M1053" s="36"/>
      <c r="N1053" s="35"/>
      <c r="O1053" s="35"/>
      <c r="P1053" s="35"/>
      <c r="Q1053" s="35"/>
      <c r="R1053" s="35"/>
      <c r="S1053" s="35"/>
      <c r="T1053" s="35"/>
      <c r="U1053" s="35"/>
      <c r="V1053" s="35"/>
      <c r="W1053" s="35"/>
      <c r="X1053" s="35"/>
      <c r="Y1053" s="35"/>
      <c r="Z1053" s="35"/>
      <c r="AA1053" s="35"/>
      <c r="AB1053" s="35"/>
      <c r="AC1053" s="35"/>
    </row>
    <row r="1054" spans="7:9" ht="12.75" hidden="1">
      <c r="G1054" s="32">
        <v>5997705.4</v>
      </c>
      <c r="H1054" s="32">
        <v>5170957.8</v>
      </c>
      <c r="I1054" s="32">
        <v>4832155.4</v>
      </c>
    </row>
    <row r="1055" spans="8:9" ht="12.75" hidden="1">
      <c r="H1055" s="32">
        <v>1118472</v>
      </c>
      <c r="I1055" s="32">
        <v>1133667</v>
      </c>
    </row>
    <row r="1056" spans="8:9" ht="12.75" hidden="1">
      <c r="H1056" s="32">
        <v>6289429.8</v>
      </c>
      <c r="I1056" s="32">
        <v>5965822.4</v>
      </c>
    </row>
    <row r="1057" ht="12.75" hidden="1"/>
    <row r="1070" spans="7:9" ht="12.75">
      <c r="G1070" s="34"/>
      <c r="H1070" s="34"/>
      <c r="I1070" s="34"/>
    </row>
  </sheetData>
  <mergeCells count="11">
    <mergeCell ref="A8:G8"/>
    <mergeCell ref="A10:I10"/>
    <mergeCell ref="A9:I9"/>
    <mergeCell ref="A11:I11"/>
    <mergeCell ref="E14:E15"/>
    <mergeCell ref="F14:F15"/>
    <mergeCell ref="H14:I14"/>
    <mergeCell ref="A14:A15"/>
    <mergeCell ref="B14:B15"/>
    <mergeCell ref="C14:C15"/>
    <mergeCell ref="D14:D15"/>
  </mergeCells>
  <printOptions/>
  <pageMargins left="1.1811023622047245" right="0.3937007874015748" top="0.68" bottom="0.3937007874015748" header="0.5118110236220472" footer="0.35433070866141736"/>
  <pageSetup fitToHeight="0" fitToWidth="1" horizontalDpi="600" verticalDpi="600" orientation="portrait" paperSize="9" scale="60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Budget_05_4</dc:creator>
  <cp:keywords/>
  <dc:description/>
  <cp:lastModifiedBy>user</cp:lastModifiedBy>
  <cp:lastPrinted>2010-12-10T12:28:19Z</cp:lastPrinted>
  <dcterms:created xsi:type="dcterms:W3CDTF">2005-10-27T10:10:18Z</dcterms:created>
  <dcterms:modified xsi:type="dcterms:W3CDTF">2010-12-10T12:31:39Z</dcterms:modified>
  <cp:category/>
  <cp:version/>
  <cp:contentType/>
  <cp:contentStatus/>
</cp:coreProperties>
</file>