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Список" sheetId="1" r:id="rId1"/>
    <sheet name="Лист1" sheetId="2" r:id="rId2"/>
  </sheets>
  <definedNames>
    <definedName name="_xlnm.Print_Titles" localSheetId="0">'Список'!$8:$8</definedName>
  </definedNames>
  <calcPr fullCalcOnLoad="1"/>
</workbook>
</file>

<file path=xl/sharedStrings.xml><?xml version="1.0" encoding="utf-8"?>
<sst xmlns="http://schemas.openxmlformats.org/spreadsheetml/2006/main" count="133" uniqueCount="103">
  <si>
    <t>2016 год</t>
  </si>
  <si>
    <t xml:space="preserve">2017 год </t>
  </si>
  <si>
    <t>Виды работ, установленные частью 1 статьи 166 Жилищного Кодекса Российской Федерации</t>
  </si>
  <si>
    <t>Стоимость капитального ремонта ВСЕГО</t>
  </si>
  <si>
    <t>Адрес МКД</t>
  </si>
  <si>
    <t>Виды, установленные нормативным правовым актом субъекта Российской Федерации</t>
  </si>
  <si>
    <t xml:space="preserve"> электроснаб-жения</t>
  </si>
  <si>
    <t>теплоснаб-жения</t>
  </si>
  <si>
    <t xml:space="preserve"> газоснаб-жения</t>
  </si>
  <si>
    <t>холодного водоснаб-жения</t>
  </si>
  <si>
    <t>горячего водоснаб-жения</t>
  </si>
  <si>
    <t xml:space="preserve"> водоотве-дения</t>
  </si>
  <si>
    <t>электричес-
кой энергии</t>
  </si>
  <si>
    <t>№ п/п</t>
  </si>
  <si>
    <t>ремонт или замена лифтового оборудования</t>
  </si>
  <si>
    <t>ремонт крыши</t>
  </si>
  <si>
    <t>ремонт подвальных помещений</t>
  </si>
  <si>
    <t>ремонт и утепление фасада</t>
  </si>
  <si>
    <t>ремонт фундамента</t>
  </si>
  <si>
    <t>другие виды</t>
  </si>
  <si>
    <t>ед.</t>
  </si>
  <si>
    <t>руб.</t>
  </si>
  <si>
    <t>кв.м.</t>
  </si>
  <si>
    <t>куб.м.</t>
  </si>
  <si>
    <t>ремонт внутридомовых инженерных систем</t>
  </si>
  <si>
    <t>тепловой энергии</t>
  </si>
  <si>
    <t>газа</t>
  </si>
  <si>
    <t>холодной воды</t>
  </si>
  <si>
    <t>горячей воды</t>
  </si>
  <si>
    <t>Реестр многоквартирных домов, которые подлежат капитальному ремонту, по видам работ</t>
  </si>
  <si>
    <t>г. Череповец, ул. Чкалова, 26</t>
  </si>
  <si>
    <t xml:space="preserve">установка коллективных (общедомовых) ПУ </t>
  </si>
  <si>
    <t>установка коллективных (общедомовых) УУ</t>
  </si>
  <si>
    <t>электрической энергии</t>
  </si>
  <si>
    <t>г. Череповец, ул. Чкалова, 2/30</t>
  </si>
  <si>
    <t>2018 год</t>
  </si>
  <si>
    <t xml:space="preserve">г. Череповец,пр. Победы, 144 </t>
  </si>
  <si>
    <t>г. Череповец, пр-кт. Луначарского, д. 30*</t>
  </si>
  <si>
    <t>г. Череповец, пр-кт. Победы, д. 153*</t>
  </si>
  <si>
    <t>г. Череповец, пр-кт. Победы, д. 180*</t>
  </si>
  <si>
    <t>г. Череповец, пр-кт. Победы, д. 28*</t>
  </si>
  <si>
    <t>г. Череповец, пр-кт. Победы, д. 66*</t>
  </si>
  <si>
    <t>г. Череповец, пр-кт. Победы, д. 77*</t>
  </si>
  <si>
    <t>г. Череповец, пр-кт. Советский, д. 101*</t>
  </si>
  <si>
    <t>г. Череповец, пр-кт. Советский, д. 103*</t>
  </si>
  <si>
    <t>г. Череповец, пр-кт. Строителей, д. 1*</t>
  </si>
  <si>
    <t>г. Череповец, пр-кт. Строителей, д. 3*</t>
  </si>
  <si>
    <t>г. Череповец, пр-кт. Строителей, д. 5*</t>
  </si>
  <si>
    <t>г. Череповец, пр-кт. Строителей, д. 7*</t>
  </si>
  <si>
    <t>г. Череповец, ул. Архангельская, д. 17Б*</t>
  </si>
  <si>
    <t>г. Череповец, ул. Верещагина, д. 40*</t>
  </si>
  <si>
    <t>г. Череповец, ул. Верещагина, д. 55*</t>
  </si>
  <si>
    <t>г. Череповец, ул. Городецкая, д. 4*</t>
  </si>
  <si>
    <t>г. Череповец, ул. К.Белова, д. 25*</t>
  </si>
  <si>
    <t>г. Череповец, ул. К.Белова, д. 33*</t>
  </si>
  <si>
    <t>г. Череповец, ул. К.Беляева, д. 12*</t>
  </si>
  <si>
    <t>г. Череповец, ул. К.Беляева, д. 13*</t>
  </si>
  <si>
    <t>г. Череповец, ул. К.Беляева, д. 25*</t>
  </si>
  <si>
    <t>г. Череповец, ул. Красная, д. 1А*</t>
  </si>
  <si>
    <t>г. Череповец, ул. Ленина, д. 52*</t>
  </si>
  <si>
    <t>г. Череповец, ул. Ленина, д. 59*</t>
  </si>
  <si>
    <t>г. Череповец, ул. Ленина, д. 63*</t>
  </si>
  <si>
    <t>г. Череповец, ул. М.Горького, д. 83А*</t>
  </si>
  <si>
    <t>г. Череповец, ул. М.Горького, д. 85*</t>
  </si>
  <si>
    <t>г. Череповец, ул. М.Горького, д. 85А*</t>
  </si>
  <si>
    <t>г. Череповец, ул. Металлургов, д. 46*</t>
  </si>
  <si>
    <t>г. Череповец, ул. Милютина, д. 11*</t>
  </si>
  <si>
    <t>г. Череповец, ул. Парковая, д. 14*</t>
  </si>
  <si>
    <t>г. Череповец, ул. Парковая, д. 16*</t>
  </si>
  <si>
    <t>г. Череповец, ул. Тимохина, д. 4*</t>
  </si>
  <si>
    <t>г. Череповец, пл. Металлургов, д. 2</t>
  </si>
  <si>
    <t>г. Череповец, пл. Металлургов, д. 5</t>
  </si>
  <si>
    <t>г. Череповец, пр-кт. Победы, д. 139</t>
  </si>
  <si>
    <t>г. Череповец, пр-кт. Победы, д. 192</t>
  </si>
  <si>
    <t>г. Череповец, пр-кт. Победы, д. 97</t>
  </si>
  <si>
    <t>г. Череповец, пр-кт. Ленина, д. 61</t>
  </si>
  <si>
    <t>г. Череповец, пр-кт. Советский, д. 98</t>
  </si>
  <si>
    <t>г. Череповец, ул. Архангельская, д. 21*</t>
  </si>
  <si>
    <t>г. Череповец, ул. Верещагина, д. 52</t>
  </si>
  <si>
    <t>г. Череповец, ул. Ветеранов, д. 14</t>
  </si>
  <si>
    <t>г. Череповец, ул. Гагарина, д. 16</t>
  </si>
  <si>
    <t>г. Череповец, ул. Жукова, д. 1</t>
  </si>
  <si>
    <t>г. Череповец, ул. Жукова, д. 3</t>
  </si>
  <si>
    <t>г. Череповец, ул. К.Белова, д. 39</t>
  </si>
  <si>
    <t>г. Череповец, проезд. Клубный, д. 19*</t>
  </si>
  <si>
    <t>г. Череповец, ул. Краснодонцев, д. 116</t>
  </si>
  <si>
    <t>г. Череповец, ул. Краснодонцев, д. 116/69</t>
  </si>
  <si>
    <t>г. Череповец, ул. Ленина, д. 122А</t>
  </si>
  <si>
    <t>г. Череповец, ул. Ленина, д. 126</t>
  </si>
  <si>
    <t>г. Череповец, ул. Ленина, д. 136</t>
  </si>
  <si>
    <t>г. Череповец, ул. Ленина, д. 142</t>
  </si>
  <si>
    <t>г. Череповец, ул. Ленина, д. 155</t>
  </si>
  <si>
    <t>г. Череповец, ул. Ленинградская, д. 12*</t>
  </si>
  <si>
    <t>г. Череповец, ул. Любецкая, д. 27</t>
  </si>
  <si>
    <t>г. Череповец, ул. Металлургов, д. 1</t>
  </si>
  <si>
    <t>г. Череповец, ул. Металлургов, д. 4</t>
  </si>
  <si>
    <t>г. Череповец, ул. Металлургов, д. 4а</t>
  </si>
  <si>
    <t>г. Череповец, ул. Металлургов, д. 51</t>
  </si>
  <si>
    <t>г. Череповец, ул. Металлургов, д. 67</t>
  </si>
  <si>
    <t>г. Череповец, ул. Парковая, д. 48</t>
  </si>
  <si>
    <t>г. Череповец, ш.Северное, д. 15</t>
  </si>
  <si>
    <t>г. Череповец, пр-кт. Победы, д. 190*</t>
  </si>
  <si>
    <t>г. Череповец, ул. К.Белова, д. 13А*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</si>
</sst>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[$-419]General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39">
    <font>
      <sz val="11"/>
      <color theme="1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sz val="12"/>
      <color indexed="9"/>
      <name val="Calibri"/>
      <family val="1"/>
    </font>
    <font>
      <sz val="12"/>
      <color indexed="56"/>
      <name val="Cambria"/>
      <family val="1"/>
    </font>
    <font>
      <b/>
      <sz val="12"/>
      <color indexed="60"/>
      <name val="Calibri"/>
      <family val="1"/>
    </font>
    <font>
      <sz val="12"/>
      <color indexed="20"/>
      <name val="Calibri"/>
      <family val="2"/>
    </font>
    <font>
      <b/>
      <sz val="11"/>
      <color indexed="23"/>
      <name val="Calibri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i/>
      <sz val="11"/>
      <color theme="3"/>
      <name val="Calibri"/>
      <family val="2"/>
    </font>
    <font>
      <sz val="12"/>
      <color theme="0"/>
      <name val="Calibri"/>
      <family val="1"/>
    </font>
    <font>
      <sz val="12"/>
      <color theme="3"/>
      <name val="Cambria"/>
      <family val="1"/>
    </font>
    <font>
      <b/>
      <sz val="12"/>
      <color rgb="FF9C6500"/>
      <name val="Calibri"/>
      <family val="1"/>
    </font>
    <font>
      <sz val="12"/>
      <color rgb="FF9C0006"/>
      <name val="Calibri"/>
      <family val="2"/>
    </font>
    <font>
      <b/>
      <sz val="11"/>
      <color rgb="FF7F7F7F"/>
      <name val="Calibri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4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4" fontId="38" fillId="33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23"/>
  <sheetViews>
    <sheetView tabSelected="1" zoomScale="90" zoomScaleNormal="90" zoomScalePageLayoutView="77" workbookViewId="0" topLeftCell="A4">
      <pane ySplit="4" topLeftCell="A172" activePane="bottomLeft" state="frozen"/>
      <selection pane="topLeft" activeCell="A4" sqref="A4"/>
      <selection pane="bottomLeft" activeCell="B517" sqref="B517"/>
    </sheetView>
  </sheetViews>
  <sheetFormatPr defaultColWidth="8.7109375" defaultRowHeight="12.75" customHeight="1"/>
  <cols>
    <col min="1" max="1" width="5.28125" style="4" customWidth="1"/>
    <col min="2" max="2" width="70.140625" style="4" customWidth="1"/>
    <col min="3" max="3" width="15.140625" style="4" customWidth="1"/>
    <col min="4" max="4" width="13.28125" style="4" customWidth="1"/>
    <col min="5" max="5" width="13.8515625" style="4" customWidth="1"/>
    <col min="6" max="6" width="13.421875" style="4" customWidth="1"/>
    <col min="7" max="7" width="12.8515625" style="4" customWidth="1"/>
    <col min="8" max="8" width="13.7109375" style="4" customWidth="1"/>
    <col min="9" max="9" width="12.421875" style="4" customWidth="1"/>
    <col min="10" max="10" width="7.8515625" style="15" customWidth="1"/>
    <col min="11" max="11" width="13.57421875" style="4" customWidth="1"/>
    <col min="12" max="12" width="11.7109375" style="4" customWidth="1"/>
    <col min="13" max="13" width="13.7109375" style="16" customWidth="1"/>
    <col min="14" max="14" width="9.57421875" style="4" customWidth="1"/>
    <col min="15" max="15" width="16.00390625" style="4" customWidth="1"/>
    <col min="16" max="16" width="10.28125" style="4" customWidth="1"/>
    <col min="17" max="17" width="14.57421875" style="4" customWidth="1"/>
    <col min="18" max="18" width="9.00390625" style="4" customWidth="1"/>
    <col min="19" max="19" width="13.7109375" style="4" customWidth="1"/>
    <col min="20" max="20" width="10.421875" style="4" customWidth="1"/>
    <col min="21" max="21" width="14.57421875" style="4" customWidth="1"/>
    <col min="22" max="22" width="11.57421875" style="4" customWidth="1"/>
    <col min="23" max="23" width="13.7109375" style="4" customWidth="1"/>
    <col min="24" max="24" width="14.57421875" style="4" customWidth="1"/>
    <col min="25" max="25" width="13.8515625" style="4" customWidth="1"/>
    <col min="26" max="26" width="14.140625" style="4" customWidth="1"/>
    <col min="27" max="27" width="10.421875" style="4" customWidth="1"/>
    <col min="28" max="28" width="11.421875" style="4" customWidth="1"/>
    <col min="29" max="29" width="12.57421875" style="4" customWidth="1"/>
    <col min="30" max="30" width="13.140625" style="4" customWidth="1"/>
    <col min="31" max="16384" width="8.7109375" style="4" customWidth="1"/>
  </cols>
  <sheetData>
    <row r="1" spans="1:25" ht="11.25" customHeight="1" hidden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hidden="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8.75" customHeight="1" hidden="1">
      <c r="A3" s="5"/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0" ht="46.5" customHeight="1">
      <c r="A4" s="42" t="s">
        <v>13</v>
      </c>
      <c r="B4" s="42" t="s">
        <v>4</v>
      </c>
      <c r="C4" s="42" t="s">
        <v>3</v>
      </c>
      <c r="D4" s="49" t="s">
        <v>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3" t="s">
        <v>5</v>
      </c>
      <c r="U4" s="54"/>
      <c r="V4" s="54"/>
      <c r="W4" s="54"/>
      <c r="X4" s="54"/>
      <c r="Y4" s="54"/>
      <c r="Z4" s="54"/>
      <c r="AA4" s="54"/>
      <c r="AB4" s="54"/>
      <c r="AC4" s="54"/>
      <c r="AD4" s="55"/>
    </row>
    <row r="5" spans="1:30" ht="45" customHeight="1">
      <c r="A5" s="43"/>
      <c r="B5" s="43"/>
      <c r="C5" s="48"/>
      <c r="D5" s="49" t="s">
        <v>24</v>
      </c>
      <c r="E5" s="50"/>
      <c r="F5" s="50"/>
      <c r="G5" s="50"/>
      <c r="H5" s="50"/>
      <c r="I5" s="51"/>
      <c r="J5" s="44" t="s">
        <v>14</v>
      </c>
      <c r="K5" s="45"/>
      <c r="L5" s="44" t="s">
        <v>15</v>
      </c>
      <c r="M5" s="45"/>
      <c r="N5" s="44" t="s">
        <v>16</v>
      </c>
      <c r="O5" s="45"/>
      <c r="P5" s="44" t="s">
        <v>17</v>
      </c>
      <c r="Q5" s="45"/>
      <c r="R5" s="44" t="s">
        <v>18</v>
      </c>
      <c r="S5" s="45"/>
      <c r="T5" s="53" t="s">
        <v>31</v>
      </c>
      <c r="U5" s="54"/>
      <c r="V5" s="54"/>
      <c r="W5" s="54"/>
      <c r="X5" s="55"/>
      <c r="Y5" s="53" t="s">
        <v>32</v>
      </c>
      <c r="Z5" s="54"/>
      <c r="AA5" s="54"/>
      <c r="AB5" s="54"/>
      <c r="AC5" s="55"/>
      <c r="AD5" s="58" t="s">
        <v>19</v>
      </c>
    </row>
    <row r="6" spans="1:30" ht="45" customHeight="1">
      <c r="A6" s="43"/>
      <c r="B6" s="43"/>
      <c r="C6" s="43"/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46"/>
      <c r="K6" s="47"/>
      <c r="L6" s="46"/>
      <c r="M6" s="47"/>
      <c r="N6" s="46"/>
      <c r="O6" s="47"/>
      <c r="P6" s="46"/>
      <c r="Q6" s="47"/>
      <c r="R6" s="46"/>
      <c r="S6" s="47"/>
      <c r="T6" s="28" t="s">
        <v>33</v>
      </c>
      <c r="U6" s="28" t="s">
        <v>25</v>
      </c>
      <c r="V6" s="28" t="s">
        <v>26</v>
      </c>
      <c r="W6" s="28" t="s">
        <v>27</v>
      </c>
      <c r="X6" s="28" t="s">
        <v>28</v>
      </c>
      <c r="Y6" s="28" t="s">
        <v>12</v>
      </c>
      <c r="Z6" s="28" t="s">
        <v>25</v>
      </c>
      <c r="AA6" s="28" t="s">
        <v>26</v>
      </c>
      <c r="AB6" s="28" t="s">
        <v>27</v>
      </c>
      <c r="AC6" s="28" t="s">
        <v>28</v>
      </c>
      <c r="AD6" s="59"/>
    </row>
    <row r="7" spans="1:30" ht="13.5" customHeight="1">
      <c r="A7" s="43"/>
      <c r="B7" s="43"/>
      <c r="C7" s="7" t="s">
        <v>21</v>
      </c>
      <c r="D7" s="7" t="s">
        <v>21</v>
      </c>
      <c r="E7" s="7" t="s">
        <v>21</v>
      </c>
      <c r="F7" s="7" t="s">
        <v>21</v>
      </c>
      <c r="G7" s="7" t="s">
        <v>21</v>
      </c>
      <c r="H7" s="7" t="s">
        <v>21</v>
      </c>
      <c r="I7" s="7" t="s">
        <v>21</v>
      </c>
      <c r="J7" s="8" t="s">
        <v>20</v>
      </c>
      <c r="K7" s="7" t="s">
        <v>21</v>
      </c>
      <c r="L7" s="7" t="s">
        <v>22</v>
      </c>
      <c r="M7" s="7" t="s">
        <v>21</v>
      </c>
      <c r="N7" s="7" t="s">
        <v>22</v>
      </c>
      <c r="O7" s="7" t="s">
        <v>21</v>
      </c>
      <c r="P7" s="7" t="s">
        <v>22</v>
      </c>
      <c r="Q7" s="7" t="s">
        <v>21</v>
      </c>
      <c r="R7" s="7" t="s">
        <v>23</v>
      </c>
      <c r="S7" s="7" t="s">
        <v>21</v>
      </c>
      <c r="T7" s="28" t="s">
        <v>21</v>
      </c>
      <c r="U7" s="28" t="s">
        <v>21</v>
      </c>
      <c r="V7" s="28" t="s">
        <v>21</v>
      </c>
      <c r="W7" s="28" t="s">
        <v>21</v>
      </c>
      <c r="X7" s="28" t="s">
        <v>21</v>
      </c>
      <c r="Y7" s="28" t="s">
        <v>21</v>
      </c>
      <c r="Z7" s="28" t="s">
        <v>21</v>
      </c>
      <c r="AA7" s="28" t="s">
        <v>21</v>
      </c>
      <c r="AB7" s="28" t="s">
        <v>21</v>
      </c>
      <c r="AC7" s="28" t="s">
        <v>21</v>
      </c>
      <c r="AD7" s="28" t="s">
        <v>21</v>
      </c>
    </row>
    <row r="8" spans="1:30" ht="11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10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26">
        <v>20</v>
      </c>
      <c r="U8" s="26">
        <v>21</v>
      </c>
      <c r="V8" s="26">
        <v>22</v>
      </c>
      <c r="W8" s="26">
        <v>23</v>
      </c>
      <c r="X8" s="26">
        <v>24</v>
      </c>
      <c r="Y8" s="26">
        <v>25</v>
      </c>
      <c r="Z8" s="26">
        <v>26</v>
      </c>
      <c r="AA8" s="26">
        <v>27</v>
      </c>
      <c r="AB8" s="26">
        <v>28</v>
      </c>
      <c r="AC8" s="26">
        <v>29</v>
      </c>
      <c r="AD8" s="26">
        <v>30</v>
      </c>
    </row>
    <row r="9" spans="1:25" ht="15.75" customHeight="1">
      <c r="A9" s="11"/>
      <c r="B9" s="52" t="s">
        <v>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31" ht="15" customHeight="1">
      <c r="A10" s="29">
        <v>307</v>
      </c>
      <c r="B10" s="12" t="s">
        <v>37</v>
      </c>
      <c r="C10" s="13">
        <f aca="true" t="shared" si="0" ref="C10:C54">D10+E10+F10+G10+H10+I10+K10+M10+O10+Q10+S10+T10+U10+V10+W10+X10+Y10+Z10+AA10+AB10+AC10+AD10</f>
        <v>7022408.14</v>
      </c>
      <c r="D10" s="13">
        <v>435517.71</v>
      </c>
      <c r="E10" s="13"/>
      <c r="F10" s="13"/>
      <c r="G10" s="13"/>
      <c r="H10" s="13"/>
      <c r="I10" s="13"/>
      <c r="J10" s="13">
        <v>2</v>
      </c>
      <c r="K10" s="13">
        <v>6586890.43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0"/>
      <c r="AA10" s="20"/>
      <c r="AB10" s="20"/>
      <c r="AC10" s="20"/>
      <c r="AD10" s="20"/>
      <c r="AE10" s="21"/>
    </row>
    <row r="11" spans="1:31" ht="15" customHeight="1">
      <c r="A11" s="29">
        <v>308</v>
      </c>
      <c r="B11" s="12" t="str">
        <f>"г. Череповец, пр-кт. Октябрьский, д. 49, корп.2"</f>
        <v>г. Череповец, пр-кт. Октябрьский, д. 49, корп.2</v>
      </c>
      <c r="C11" s="13">
        <f t="shared" si="0"/>
        <v>120490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>
        <f>1*120490</f>
        <v>120490</v>
      </c>
      <c r="X11" s="13"/>
      <c r="Y11" s="13"/>
      <c r="Z11" s="20"/>
      <c r="AA11" s="20"/>
      <c r="AB11" s="20"/>
      <c r="AC11" s="20"/>
      <c r="AD11" s="20"/>
      <c r="AE11" s="21"/>
    </row>
    <row r="12" spans="1:31" ht="15" customHeight="1">
      <c r="A12" s="29">
        <v>309</v>
      </c>
      <c r="B12" s="12" t="str">
        <f>"г. Череповец, пр-кт. Октябрьский, д. 49"</f>
        <v>г. Череповец, пр-кт. Октябрьский, д. 49</v>
      </c>
      <c r="C12" s="13">
        <f t="shared" si="0"/>
        <v>120490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>
        <f>1*120490</f>
        <v>120490</v>
      </c>
      <c r="X12" s="13"/>
      <c r="Y12" s="13"/>
      <c r="Z12" s="20"/>
      <c r="AA12" s="20"/>
      <c r="AB12" s="20"/>
      <c r="AC12" s="20"/>
      <c r="AD12" s="20"/>
      <c r="AE12" s="21"/>
    </row>
    <row r="13" spans="1:31" ht="15" customHeight="1">
      <c r="A13" s="29">
        <v>310</v>
      </c>
      <c r="B13" s="12" t="str">
        <f>"г. Череповец, пр-кт. Победы, д. 142"</f>
        <v>г. Череповец, пр-кт. Победы, д. 142</v>
      </c>
      <c r="C13" s="13">
        <f t="shared" si="0"/>
        <v>1404669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0">
        <v>1404669</v>
      </c>
      <c r="AA13" s="20"/>
      <c r="AB13" s="20"/>
      <c r="AC13" s="20"/>
      <c r="AD13" s="20"/>
      <c r="AE13" s="21"/>
    </row>
    <row r="14" spans="1:31" ht="15" customHeight="1">
      <c r="A14" s="29">
        <v>311</v>
      </c>
      <c r="B14" s="12" t="str">
        <f>"г. Череповец, пр-кт. Победы, д. 15"</f>
        <v>г. Череповец, пр-кт. Победы, д. 15</v>
      </c>
      <c r="C14" s="13">
        <f t="shared" si="0"/>
        <v>4392756</v>
      </c>
      <c r="D14" s="13"/>
      <c r="E14" s="13"/>
      <c r="F14" s="13"/>
      <c r="G14" s="13"/>
      <c r="H14" s="13"/>
      <c r="I14" s="13"/>
      <c r="J14" s="13">
        <v>1</v>
      </c>
      <c r="K14" s="13">
        <v>4392756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0"/>
      <c r="AA14" s="20"/>
      <c r="AB14" s="20"/>
      <c r="AC14" s="20"/>
      <c r="AD14" s="20"/>
      <c r="AE14" s="21"/>
    </row>
    <row r="15" spans="1:31" ht="15" customHeight="1">
      <c r="A15" s="29">
        <v>312</v>
      </c>
      <c r="B15" s="12" t="s">
        <v>38</v>
      </c>
      <c r="C15" s="13">
        <f t="shared" si="0"/>
        <v>7323746.31</v>
      </c>
      <c r="D15" s="13"/>
      <c r="E15" s="13"/>
      <c r="F15" s="13"/>
      <c r="G15" s="13"/>
      <c r="H15" s="13"/>
      <c r="I15" s="13"/>
      <c r="J15" s="13">
        <v>3</v>
      </c>
      <c r="K15" s="13">
        <v>7323746.31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0"/>
      <c r="AA15" s="20"/>
      <c r="AB15" s="20"/>
      <c r="AC15" s="20"/>
      <c r="AD15" s="20"/>
      <c r="AE15" s="21"/>
    </row>
    <row r="16" spans="1:31" ht="15" customHeight="1">
      <c r="A16" s="29">
        <v>313</v>
      </c>
      <c r="B16" s="12" t="str">
        <f>"г. Череповец, пр-кт. Победы, д. 161"</f>
        <v>г. Череповец, пр-кт. Победы, д. 161</v>
      </c>
      <c r="C16" s="13">
        <f t="shared" si="0"/>
        <v>1404669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20">
        <v>1404669</v>
      </c>
      <c r="AA16" s="20"/>
      <c r="AB16" s="20"/>
      <c r="AC16" s="20"/>
      <c r="AD16" s="20"/>
      <c r="AE16" s="21"/>
    </row>
    <row r="17" spans="1:31" ht="15" customHeight="1">
      <c r="A17" s="29">
        <v>314</v>
      </c>
      <c r="B17" s="12" t="str">
        <f>"г. Череповец, пр-кт. Победы, д. 166"</f>
        <v>г. Череповец, пр-кт. Победы, д. 166</v>
      </c>
      <c r="C17" s="13">
        <f t="shared" si="0"/>
        <v>1404669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0">
        <v>1404669</v>
      </c>
      <c r="AA17" s="20"/>
      <c r="AB17" s="20"/>
      <c r="AC17" s="20"/>
      <c r="AD17" s="20"/>
      <c r="AE17" s="21"/>
    </row>
    <row r="18" spans="1:31" ht="15" customHeight="1">
      <c r="A18" s="29">
        <v>315</v>
      </c>
      <c r="B18" s="12" t="s">
        <v>39</v>
      </c>
      <c r="C18" s="13">
        <f t="shared" si="0"/>
        <v>2159060.33</v>
      </c>
      <c r="D18" s="13"/>
      <c r="E18" s="13"/>
      <c r="F18" s="13"/>
      <c r="G18" s="13">
        <v>455549.17</v>
      </c>
      <c r="H18" s="13">
        <v>757561.84</v>
      </c>
      <c r="I18" s="13">
        <v>945949.32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20"/>
      <c r="AA18" s="20"/>
      <c r="AB18" s="20"/>
      <c r="AC18" s="20"/>
      <c r="AD18" s="20"/>
      <c r="AE18" s="21"/>
    </row>
    <row r="19" spans="1:31" ht="15" customHeight="1">
      <c r="A19" s="29">
        <v>316</v>
      </c>
      <c r="B19" s="12" t="str">
        <f>"г. Череповец, пр-кт. Победы, д. 184"</f>
        <v>г. Череповец, пр-кт. Победы, д. 184</v>
      </c>
      <c r="C19" s="13">
        <f t="shared" si="0"/>
        <v>1404669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0">
        <v>1404669</v>
      </c>
      <c r="AA19" s="20"/>
      <c r="AB19" s="20"/>
      <c r="AC19" s="20"/>
      <c r="AD19" s="20"/>
      <c r="AE19" s="21"/>
    </row>
    <row r="20" spans="1:31" ht="15" customHeight="1">
      <c r="A20" s="29">
        <v>317</v>
      </c>
      <c r="B20" s="12" t="str">
        <f>"г. Череповец, пр-кт. Победы, д. 186"</f>
        <v>г. Череповец, пр-кт. Победы, д. 186</v>
      </c>
      <c r="C20" s="13">
        <f t="shared" si="0"/>
        <v>14260864.33</v>
      </c>
      <c r="D20" s="13"/>
      <c r="E20" s="13"/>
      <c r="F20" s="13"/>
      <c r="G20" s="13"/>
      <c r="H20" s="13"/>
      <c r="I20" s="13"/>
      <c r="J20" s="13">
        <v>6</v>
      </c>
      <c r="K20" s="13">
        <v>14260864.33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0"/>
      <c r="AA20" s="20"/>
      <c r="AB20" s="20"/>
      <c r="AC20" s="20"/>
      <c r="AD20" s="20"/>
      <c r="AE20" s="21"/>
    </row>
    <row r="21" spans="1:31" ht="15" customHeight="1">
      <c r="A21" s="29">
        <v>318</v>
      </c>
      <c r="B21" s="12" t="str">
        <f>"г. Череповец, пр-кт. Победы, д. 192"</f>
        <v>г. Череповец, пр-кт. Победы, д. 192</v>
      </c>
      <c r="C21" s="13">
        <f t="shared" si="0"/>
        <v>2809338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f>1115908+1*288761</f>
        <v>1404669</v>
      </c>
      <c r="V21" s="13"/>
      <c r="W21" s="13"/>
      <c r="X21" s="13"/>
      <c r="Y21" s="13"/>
      <c r="Z21" s="20">
        <v>1404669</v>
      </c>
      <c r="AA21" s="20"/>
      <c r="AB21" s="20"/>
      <c r="AC21" s="20"/>
      <c r="AD21" s="20"/>
      <c r="AE21" s="21"/>
    </row>
    <row r="22" spans="1:31" ht="15" customHeight="1">
      <c r="A22" s="29">
        <v>319</v>
      </c>
      <c r="B22" s="12" t="str">
        <f>"г. Череповец, пр-кт. Победы, д. 208"</f>
        <v>г. Череповец, пр-кт. Победы, д. 208</v>
      </c>
      <c r="C22" s="13">
        <f t="shared" si="0"/>
        <v>1518272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0"/>
      <c r="AA22" s="20"/>
      <c r="AB22" s="20"/>
      <c r="AC22" s="20">
        <v>1518272</v>
      </c>
      <c r="AD22" s="20"/>
      <c r="AE22" s="21"/>
    </row>
    <row r="23" spans="1:30" ht="15" customHeight="1">
      <c r="A23" s="29">
        <v>320</v>
      </c>
      <c r="B23" s="12" t="str">
        <f>"г. Череповец, пр-кт. Победы, д. 210"</f>
        <v>г. Череповец, пр-кт. Победы, д. 210</v>
      </c>
      <c r="C23" s="13">
        <f>D23+E23+F23+G23+H23+I23+K23+M23+O23+Q23+S23+T23+U23+V23+W23+X23+Y23+Z23+AA23+AB23+AC23+AD23</f>
        <v>1404669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0">
        <v>1404669</v>
      </c>
      <c r="AA23" s="20"/>
      <c r="AB23" s="20"/>
      <c r="AC23" s="20"/>
      <c r="AD23" s="20"/>
    </row>
    <row r="24" spans="1:31" ht="15" customHeight="1">
      <c r="A24" s="29">
        <v>321</v>
      </c>
      <c r="B24" s="12" t="s">
        <v>40</v>
      </c>
      <c r="C24" s="13">
        <f t="shared" si="0"/>
        <v>1633582.2999999998</v>
      </c>
      <c r="D24" s="13"/>
      <c r="E24" s="13"/>
      <c r="F24" s="13"/>
      <c r="G24" s="13">
        <v>300629.4</v>
      </c>
      <c r="H24" s="13">
        <v>753059.96</v>
      </c>
      <c r="I24" s="13">
        <v>579892.94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0"/>
      <c r="AA24" s="20"/>
      <c r="AB24" s="20"/>
      <c r="AC24" s="20"/>
      <c r="AD24" s="20"/>
      <c r="AE24" s="21"/>
    </row>
    <row r="25" spans="1:31" ht="15" customHeight="1">
      <c r="A25" s="29">
        <v>322</v>
      </c>
      <c r="B25" s="12" t="str">
        <f>"г. Череповец, пр-кт. Победы, д. 58"</f>
        <v>г. Череповец, пр-кт. Победы, д. 58</v>
      </c>
      <c r="C25" s="13">
        <f t="shared" si="0"/>
        <v>2624700</v>
      </c>
      <c r="D25" s="13">
        <f>650*4038</f>
        <v>2624700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0"/>
      <c r="AA25" s="20"/>
      <c r="AB25" s="20"/>
      <c r="AC25" s="20"/>
      <c r="AD25" s="20"/>
      <c r="AE25" s="21"/>
    </row>
    <row r="26" spans="1:31" ht="15" customHeight="1">
      <c r="A26" s="29">
        <v>323</v>
      </c>
      <c r="B26" s="12" t="str">
        <f>"г. Череповец, пр-кт. Победы, д. 64"</f>
        <v>г. Череповец, пр-кт. Победы, д. 64</v>
      </c>
      <c r="C26" s="13">
        <f t="shared" si="0"/>
        <v>2019000</v>
      </c>
      <c r="D26" s="13">
        <f>500*4038</f>
        <v>2019000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0"/>
      <c r="AA26" s="20"/>
      <c r="AB26" s="20"/>
      <c r="AC26" s="20"/>
      <c r="AD26" s="20"/>
      <c r="AE26" s="21"/>
    </row>
    <row r="27" spans="1:31" ht="15" customHeight="1">
      <c r="A27" s="29">
        <v>324</v>
      </c>
      <c r="B27" s="12" t="s">
        <v>41</v>
      </c>
      <c r="C27" s="13">
        <f t="shared" si="0"/>
        <v>7081072.290000001</v>
      </c>
      <c r="D27" s="13">
        <v>1455092.07</v>
      </c>
      <c r="E27" s="13"/>
      <c r="F27" s="13"/>
      <c r="G27" s="13">
        <v>819088.69</v>
      </c>
      <c r="H27" s="13">
        <v>3352149.97</v>
      </c>
      <c r="I27" s="13">
        <v>1454741.56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0"/>
      <c r="AA27" s="20"/>
      <c r="AB27" s="20"/>
      <c r="AC27" s="20"/>
      <c r="AD27" s="20"/>
      <c r="AE27" s="21"/>
    </row>
    <row r="28" spans="1:31" ht="15" customHeight="1">
      <c r="A28" s="29">
        <v>325</v>
      </c>
      <c r="B28" s="12" t="str">
        <f>"г. Череповец, пр-кт. Победы, д. 68"</f>
        <v>г. Череповец, пр-кт. Победы, д. 68</v>
      </c>
      <c r="C28" s="13">
        <f t="shared" si="0"/>
        <v>2624700</v>
      </c>
      <c r="D28" s="13">
        <f>650*4038</f>
        <v>2624700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0"/>
      <c r="AA28" s="20"/>
      <c r="AB28" s="20"/>
      <c r="AC28" s="20"/>
      <c r="AD28" s="20"/>
      <c r="AE28" s="21"/>
    </row>
    <row r="29" spans="1:31" ht="15" customHeight="1">
      <c r="A29" s="29">
        <v>326</v>
      </c>
      <c r="B29" s="12" t="s">
        <v>42</v>
      </c>
      <c r="C29" s="13">
        <f t="shared" si="0"/>
        <v>1562315.4</v>
      </c>
      <c r="D29" s="13"/>
      <c r="E29" s="13"/>
      <c r="F29" s="13"/>
      <c r="G29" s="13">
        <v>319212.57</v>
      </c>
      <c r="H29" s="13">
        <v>381136.18</v>
      </c>
      <c r="I29" s="13">
        <v>861966.65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0"/>
      <c r="AA29" s="20"/>
      <c r="AB29" s="20"/>
      <c r="AC29" s="20"/>
      <c r="AD29" s="20"/>
      <c r="AE29" s="21"/>
    </row>
    <row r="30" spans="1:31" ht="15" customHeight="1">
      <c r="A30" s="29">
        <v>327</v>
      </c>
      <c r="B30" s="12" t="s">
        <v>43</v>
      </c>
      <c r="C30" s="13">
        <f t="shared" si="0"/>
        <v>2595432.25</v>
      </c>
      <c r="D30" s="13"/>
      <c r="E30" s="13"/>
      <c r="F30" s="13"/>
      <c r="G30" s="13"/>
      <c r="H30" s="13"/>
      <c r="I30" s="13"/>
      <c r="J30" s="13">
        <v>1</v>
      </c>
      <c r="K30" s="13">
        <v>2595432.25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0"/>
      <c r="AA30" s="20"/>
      <c r="AB30" s="20"/>
      <c r="AC30" s="20"/>
      <c r="AD30" s="20"/>
      <c r="AE30" s="21"/>
    </row>
    <row r="31" spans="1:31" ht="15" customHeight="1">
      <c r="A31" s="29">
        <v>328</v>
      </c>
      <c r="B31" s="12" t="s">
        <v>44</v>
      </c>
      <c r="C31" s="13">
        <f t="shared" si="0"/>
        <v>2595432.25</v>
      </c>
      <c r="D31" s="13"/>
      <c r="E31" s="13"/>
      <c r="F31" s="13"/>
      <c r="G31" s="13"/>
      <c r="H31" s="13"/>
      <c r="I31" s="13"/>
      <c r="J31" s="13">
        <v>1</v>
      </c>
      <c r="K31" s="13">
        <v>2595432.25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0"/>
      <c r="AA31" s="20"/>
      <c r="AB31" s="20"/>
      <c r="AC31" s="20"/>
      <c r="AD31" s="20"/>
      <c r="AE31" s="21"/>
    </row>
    <row r="32" spans="1:31" ht="15" customHeight="1">
      <c r="A32" s="29">
        <v>329</v>
      </c>
      <c r="B32" s="12" t="str">
        <f>"г. Череповец, пр-кт. Советский, д. 106"</f>
        <v>г. Череповец, пр-кт. Советский, д. 106</v>
      </c>
      <c r="C32" s="13">
        <f t="shared" si="0"/>
        <v>4320660</v>
      </c>
      <c r="D32" s="13">
        <f>1070*4038</f>
        <v>4320660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0"/>
      <c r="AA32" s="20"/>
      <c r="AB32" s="20"/>
      <c r="AC32" s="20"/>
      <c r="AD32" s="20"/>
      <c r="AE32" s="21"/>
    </row>
    <row r="33" spans="1:31" ht="15" customHeight="1">
      <c r="A33" s="29">
        <v>330</v>
      </c>
      <c r="B33" s="12" t="str">
        <f>"г. Череповец, пр-кт. Советский, д. 108"</f>
        <v>г. Череповец, пр-кт. Советский, д. 108</v>
      </c>
      <c r="C33" s="13">
        <f t="shared" si="0"/>
        <v>2826600</v>
      </c>
      <c r="D33" s="13">
        <f>700*4038</f>
        <v>2826600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0"/>
      <c r="AA33" s="20"/>
      <c r="AB33" s="20"/>
      <c r="AC33" s="20"/>
      <c r="AD33" s="20"/>
      <c r="AE33" s="21"/>
    </row>
    <row r="34" spans="1:31" ht="15" customHeight="1">
      <c r="A34" s="29">
        <v>331</v>
      </c>
      <c r="B34" s="12" t="str">
        <f>"г. Череповец, пр-кт. Советский, д. 116"</f>
        <v>г. Череповец, пр-кт. Советский, д. 116</v>
      </c>
      <c r="C34" s="13">
        <f t="shared" si="0"/>
        <v>16523151.4</v>
      </c>
      <c r="D34" s="13">
        <f>1645*4038</f>
        <v>6642510</v>
      </c>
      <c r="E34" s="13"/>
      <c r="F34" s="13"/>
      <c r="G34" s="13">
        <f>1505*1796</f>
        <v>2702980</v>
      </c>
      <c r="H34" s="13">
        <f>1948.1*2104</f>
        <v>4098802.4</v>
      </c>
      <c r="I34" s="13">
        <f>1082.2*2845</f>
        <v>3078859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0"/>
      <c r="AA34" s="20"/>
      <c r="AB34" s="20"/>
      <c r="AC34" s="20"/>
      <c r="AD34" s="20"/>
      <c r="AE34" s="21"/>
    </row>
    <row r="35" spans="1:31" ht="15" customHeight="1">
      <c r="A35" s="29">
        <v>332</v>
      </c>
      <c r="B35" s="12" t="str">
        <f>"г. Череповец, пр-кт. Советский, д. 119"</f>
        <v>г. Череповец, пр-кт. Советский, д. 119</v>
      </c>
      <c r="C35" s="13">
        <f t="shared" si="0"/>
        <v>4392756</v>
      </c>
      <c r="D35" s="13"/>
      <c r="E35" s="13"/>
      <c r="F35" s="13"/>
      <c r="G35" s="13"/>
      <c r="H35" s="13"/>
      <c r="I35" s="13"/>
      <c r="J35" s="13">
        <v>1</v>
      </c>
      <c r="K35" s="13">
        <f>4392756</f>
        <v>4392756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0"/>
      <c r="AA35" s="20"/>
      <c r="AB35" s="20"/>
      <c r="AC35" s="20"/>
      <c r="AD35" s="20"/>
      <c r="AE35" s="21"/>
    </row>
    <row r="36" spans="1:31" ht="15" customHeight="1">
      <c r="A36" s="29">
        <v>333</v>
      </c>
      <c r="B36" s="12" t="str">
        <f>"г. Череповец, пр-кт. Советский, д. 81"</f>
        <v>г. Череповец, пр-кт. Советский, д. 81</v>
      </c>
      <c r="C36" s="13">
        <f t="shared" si="0"/>
        <v>3230400</v>
      </c>
      <c r="D36" s="13">
        <f>800*4038</f>
        <v>3230400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0"/>
      <c r="AA36" s="20"/>
      <c r="AB36" s="20"/>
      <c r="AC36" s="20"/>
      <c r="AD36" s="20"/>
      <c r="AE36" s="21"/>
    </row>
    <row r="37" spans="1:31" ht="15" customHeight="1">
      <c r="A37" s="29">
        <v>334</v>
      </c>
      <c r="B37" s="12" t="s">
        <v>45</v>
      </c>
      <c r="C37" s="13">
        <f t="shared" si="0"/>
        <v>2558408.08</v>
      </c>
      <c r="D37" s="13"/>
      <c r="E37" s="13"/>
      <c r="F37" s="13"/>
      <c r="G37" s="13"/>
      <c r="H37" s="13"/>
      <c r="I37" s="13"/>
      <c r="J37" s="13">
        <v>1</v>
      </c>
      <c r="K37" s="13">
        <v>2558408.08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0"/>
      <c r="AA37" s="20"/>
      <c r="AB37" s="20"/>
      <c r="AC37" s="20"/>
      <c r="AD37" s="20"/>
      <c r="AE37" s="21"/>
    </row>
    <row r="38" spans="1:31" ht="15" customHeight="1">
      <c r="A38" s="29">
        <v>335</v>
      </c>
      <c r="B38" s="12" t="s">
        <v>46</v>
      </c>
      <c r="C38" s="13">
        <f t="shared" si="0"/>
        <v>2594164.66</v>
      </c>
      <c r="D38" s="13"/>
      <c r="E38" s="13"/>
      <c r="F38" s="13"/>
      <c r="G38" s="13"/>
      <c r="H38" s="13"/>
      <c r="I38" s="13"/>
      <c r="J38" s="13">
        <v>1</v>
      </c>
      <c r="K38" s="13">
        <v>2594164.66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0"/>
      <c r="AA38" s="20"/>
      <c r="AB38" s="20"/>
      <c r="AC38" s="20"/>
      <c r="AD38" s="20"/>
      <c r="AE38" s="21"/>
    </row>
    <row r="39" spans="1:31" ht="15" customHeight="1">
      <c r="A39" s="29">
        <v>336</v>
      </c>
      <c r="B39" s="12" t="s">
        <v>47</v>
      </c>
      <c r="C39" s="13">
        <f t="shared" si="0"/>
        <v>2527905.46</v>
      </c>
      <c r="D39" s="13"/>
      <c r="E39" s="13"/>
      <c r="F39" s="13"/>
      <c r="G39" s="13"/>
      <c r="H39" s="13"/>
      <c r="I39" s="13"/>
      <c r="J39" s="13">
        <v>1</v>
      </c>
      <c r="K39" s="13">
        <v>2527905.46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0"/>
      <c r="AA39" s="20"/>
      <c r="AB39" s="20"/>
      <c r="AC39" s="20"/>
      <c r="AD39" s="20"/>
      <c r="AE39" s="21"/>
    </row>
    <row r="40" spans="1:31" ht="15" customHeight="1">
      <c r="A40" s="29">
        <v>337</v>
      </c>
      <c r="B40" s="12" t="s">
        <v>48</v>
      </c>
      <c r="C40" s="13">
        <f t="shared" si="0"/>
        <v>2546424.25</v>
      </c>
      <c r="D40" s="13"/>
      <c r="E40" s="13"/>
      <c r="F40" s="13"/>
      <c r="G40" s="13"/>
      <c r="H40" s="13"/>
      <c r="I40" s="13"/>
      <c r="J40" s="13">
        <v>1</v>
      </c>
      <c r="K40" s="13">
        <v>2546424.25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0"/>
      <c r="AA40" s="20"/>
      <c r="AB40" s="20"/>
      <c r="AC40" s="20"/>
      <c r="AD40" s="20"/>
      <c r="AE40" s="21"/>
    </row>
    <row r="41" spans="1:31" ht="15" customHeight="1">
      <c r="A41" s="29">
        <v>338</v>
      </c>
      <c r="B41" s="12" t="str">
        <f>"г. Череповец, ул. Архангельская, д. 118"</f>
        <v>г. Череповец, ул. Архангельская, д. 118</v>
      </c>
      <c r="C41" s="13">
        <f t="shared" si="0"/>
        <v>3299046</v>
      </c>
      <c r="D41" s="13">
        <f>817*4038</f>
        <v>3299046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0"/>
      <c r="AA41" s="20"/>
      <c r="AB41" s="20"/>
      <c r="AC41" s="20"/>
      <c r="AD41" s="20"/>
      <c r="AE41" s="21"/>
    </row>
    <row r="42" spans="1:31" ht="15" customHeight="1">
      <c r="A42" s="29">
        <v>339</v>
      </c>
      <c r="B42" s="12" t="s">
        <v>49</v>
      </c>
      <c r="C42" s="13">
        <f t="shared" si="0"/>
        <v>4685550.74</v>
      </c>
      <c r="D42" s="13"/>
      <c r="E42" s="13"/>
      <c r="F42" s="13"/>
      <c r="G42" s="13">
        <v>1322706.02</v>
      </c>
      <c r="H42" s="13">
        <v>1960866.02</v>
      </c>
      <c r="I42" s="13">
        <v>1401978.7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0"/>
      <c r="AA42" s="20"/>
      <c r="AB42" s="20"/>
      <c r="AC42" s="20"/>
      <c r="AD42" s="20"/>
      <c r="AE42" s="21"/>
    </row>
    <row r="43" spans="1:31" ht="15" customHeight="1">
      <c r="A43" s="29">
        <v>340</v>
      </c>
      <c r="B43" s="12" t="str">
        <f>"г. Череповец, ул. Архангельская, д. 72"</f>
        <v>г. Череповец, ул. Архангельская, д. 72</v>
      </c>
      <c r="C43" s="13">
        <f t="shared" si="0"/>
        <v>2584320</v>
      </c>
      <c r="D43" s="13">
        <f>640*4038</f>
        <v>2584320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V43" s="13"/>
      <c r="W43" s="13"/>
      <c r="X43" s="13"/>
      <c r="Y43" s="13"/>
      <c r="Z43" s="20"/>
      <c r="AA43" s="20"/>
      <c r="AB43" s="20"/>
      <c r="AC43" s="20"/>
      <c r="AD43" s="20"/>
      <c r="AE43" s="21"/>
    </row>
    <row r="44" spans="1:31" ht="15" customHeight="1">
      <c r="A44" s="29">
        <v>341</v>
      </c>
      <c r="B44" s="12" t="s">
        <v>50</v>
      </c>
      <c r="C44" s="13">
        <f t="shared" si="0"/>
        <v>688646.27</v>
      </c>
      <c r="D44" s="13">
        <v>688646.27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0"/>
      <c r="AA44" s="20"/>
      <c r="AB44" s="20"/>
      <c r="AC44" s="20"/>
      <c r="AD44" s="20"/>
      <c r="AE44" s="21"/>
    </row>
    <row r="45" spans="1:31" ht="15" customHeight="1">
      <c r="A45" s="29">
        <v>342</v>
      </c>
      <c r="B45" s="12" t="str">
        <f>"г. Череповец, ул. Верещагина, д. 52"</f>
        <v>г. Череповец, ул. Верещагина, д. 52</v>
      </c>
      <c r="C45" s="13">
        <f t="shared" si="0"/>
        <v>2094200</v>
      </c>
      <c r="D45" s="13"/>
      <c r="E45" s="13">
        <f>925*2264</f>
        <v>2094200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0"/>
      <c r="AA45" s="20"/>
      <c r="AB45" s="20"/>
      <c r="AC45" s="20"/>
      <c r="AD45" s="20"/>
      <c r="AE45" s="21"/>
    </row>
    <row r="46" spans="1:31" ht="15" customHeight="1">
      <c r="A46" s="29">
        <v>343</v>
      </c>
      <c r="B46" s="12" t="s">
        <v>51</v>
      </c>
      <c r="C46" s="13">
        <f t="shared" si="0"/>
        <v>873470.22</v>
      </c>
      <c r="D46" s="13">
        <v>873470.22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0"/>
      <c r="AA46" s="20"/>
      <c r="AB46" s="20"/>
      <c r="AC46" s="20"/>
      <c r="AD46" s="20"/>
      <c r="AE46" s="21"/>
    </row>
    <row r="47" spans="1:31" ht="15" customHeight="1">
      <c r="A47" s="29">
        <v>344</v>
      </c>
      <c r="B47" s="12" t="str">
        <f>"г. Череповец, ул. Вологодская, д. 46А"</f>
        <v>г. Череповец, ул. Вологодская, д. 46А</v>
      </c>
      <c r="C47" s="13">
        <f t="shared" si="0"/>
        <v>4392756</v>
      </c>
      <c r="D47" s="13"/>
      <c r="E47" s="13"/>
      <c r="F47" s="13"/>
      <c r="G47" s="13"/>
      <c r="H47" s="13"/>
      <c r="I47" s="13"/>
      <c r="J47" s="13">
        <v>1</v>
      </c>
      <c r="K47" s="13">
        <v>4392756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0"/>
      <c r="AA47" s="20"/>
      <c r="AB47" s="20"/>
      <c r="AC47" s="20"/>
      <c r="AD47" s="20"/>
      <c r="AE47" s="21"/>
    </row>
    <row r="48" spans="1:31" ht="15" customHeight="1">
      <c r="A48" s="29">
        <v>345</v>
      </c>
      <c r="B48" s="12" t="str">
        <f>"г. Череповец, ул. Гагарина, д. 14"</f>
        <v>г. Череповец, ул. Гагарина, д. 14</v>
      </c>
      <c r="C48" s="13">
        <f t="shared" si="0"/>
        <v>2716800</v>
      </c>
      <c r="D48" s="13"/>
      <c r="E48" s="13">
        <f>1200*2264</f>
        <v>2716800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0"/>
      <c r="AA48" s="20"/>
      <c r="AB48" s="20"/>
      <c r="AC48" s="20"/>
      <c r="AD48" s="20"/>
      <c r="AE48" s="21"/>
    </row>
    <row r="49" spans="1:31" ht="15" customHeight="1">
      <c r="A49" s="29">
        <v>346</v>
      </c>
      <c r="B49" s="12" t="str">
        <f>"г. Череповец, ул. Гагарина, д. 16"</f>
        <v>г. Череповец, ул. Гагарина, д. 16</v>
      </c>
      <c r="C49" s="13">
        <f t="shared" si="0"/>
        <v>2094200</v>
      </c>
      <c r="D49" s="13"/>
      <c r="E49" s="13">
        <f>925*2264</f>
        <v>2094200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0"/>
      <c r="AA49" s="20"/>
      <c r="AB49" s="20"/>
      <c r="AC49" s="20"/>
      <c r="AD49" s="20"/>
      <c r="AE49" s="21"/>
    </row>
    <row r="50" spans="1:31" ht="15" customHeight="1">
      <c r="A50" s="29">
        <v>347</v>
      </c>
      <c r="B50" s="12" t="str">
        <f>"г. Череповец, ул. Гагарина, д. 18"</f>
        <v>г. Череповец, ул. Гагарина, д. 18</v>
      </c>
      <c r="C50" s="13">
        <f t="shared" si="0"/>
        <v>2671520</v>
      </c>
      <c r="D50" s="13"/>
      <c r="E50" s="13">
        <f>1180*2264</f>
        <v>2671520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0"/>
      <c r="AA50" s="20"/>
      <c r="AB50" s="20"/>
      <c r="AC50" s="20"/>
      <c r="AD50" s="20"/>
      <c r="AE50" s="21"/>
    </row>
    <row r="51" spans="1:31" ht="15" customHeight="1">
      <c r="A51" s="29">
        <v>348</v>
      </c>
      <c r="B51" s="12" t="str">
        <f>"г. Череповец, ул. Годовикова, д. 18"</f>
        <v>г. Череповец, ул. Годовикова, д. 18</v>
      </c>
      <c r="C51" s="13">
        <f t="shared" si="0"/>
        <v>11439008</v>
      </c>
      <c r="D51" s="13"/>
      <c r="E51" s="13"/>
      <c r="F51" s="13"/>
      <c r="G51" s="13"/>
      <c r="H51" s="13"/>
      <c r="I51" s="13"/>
      <c r="J51" s="13"/>
      <c r="K51" s="13"/>
      <c r="L51" s="13">
        <v>1465.6</v>
      </c>
      <c r="M51" s="13">
        <f>L51*7805</f>
        <v>11439008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0"/>
      <c r="AA51" s="20"/>
      <c r="AB51" s="20"/>
      <c r="AC51" s="20"/>
      <c r="AD51" s="20"/>
      <c r="AE51" s="21"/>
    </row>
    <row r="52" spans="1:31" ht="15" customHeight="1">
      <c r="A52" s="29">
        <v>349</v>
      </c>
      <c r="B52" s="12" t="s">
        <v>52</v>
      </c>
      <c r="C52" s="13">
        <f t="shared" si="0"/>
        <v>228149.13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>
        <v>228149.13</v>
      </c>
      <c r="X52" s="13"/>
      <c r="Y52" s="13"/>
      <c r="Z52" s="20"/>
      <c r="AA52" s="20"/>
      <c r="AB52" s="20"/>
      <c r="AC52" s="20"/>
      <c r="AD52" s="20"/>
      <c r="AE52" s="21"/>
    </row>
    <row r="53" spans="1:31" ht="15" customHeight="1">
      <c r="A53" s="29">
        <v>350</v>
      </c>
      <c r="B53" s="12" t="str">
        <f>"г. Череповец, ул. Жукова, д. 1"</f>
        <v>г. Череповец, ул. Жукова, д. 1</v>
      </c>
      <c r="C53" s="13">
        <f t="shared" si="0"/>
        <v>2716800</v>
      </c>
      <c r="D53" s="13"/>
      <c r="E53" s="13">
        <f>1200*2264</f>
        <v>2716800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0"/>
      <c r="AA53" s="20"/>
      <c r="AB53" s="20"/>
      <c r="AC53" s="20"/>
      <c r="AD53" s="20"/>
      <c r="AE53" s="21"/>
    </row>
    <row r="54" spans="1:31" ht="15" customHeight="1">
      <c r="A54" s="29">
        <v>351</v>
      </c>
      <c r="B54" s="12" t="str">
        <f>"г. Череповец, ул. Жукова, д. 3"</f>
        <v>г. Череповец, ул. Жукова, д. 3</v>
      </c>
      <c r="C54" s="13">
        <f t="shared" si="0"/>
        <v>2716800</v>
      </c>
      <c r="D54" s="13"/>
      <c r="E54" s="13">
        <f>1200*2264</f>
        <v>2716800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0"/>
      <c r="AA54" s="20"/>
      <c r="AB54" s="20"/>
      <c r="AC54" s="20"/>
      <c r="AD54" s="20"/>
      <c r="AE54" s="21"/>
    </row>
    <row r="55" spans="1:31" ht="15" customHeight="1">
      <c r="A55" s="29">
        <v>352</v>
      </c>
      <c r="B55" s="12" t="s">
        <v>53</v>
      </c>
      <c r="C55" s="13">
        <f aca="true" t="shared" si="1" ref="C55:C117">D55+E55+F55+G55+H55+I55+K55+M55+O55+Q55+S55+T55+U55+V55+W55+X55+Y55+Z55+AA55+AB55+AC55+AD55</f>
        <v>230433.49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20"/>
      <c r="AA55" s="20"/>
      <c r="AB55" s="20"/>
      <c r="AC55" s="20">
        <v>230433.49</v>
      </c>
      <c r="AD55" s="20"/>
      <c r="AE55" s="21"/>
    </row>
    <row r="56" spans="1:31" ht="15" customHeight="1">
      <c r="A56" s="29">
        <v>353</v>
      </c>
      <c r="B56" s="12" t="s">
        <v>54</v>
      </c>
      <c r="C56" s="13">
        <f t="shared" si="1"/>
        <v>2379452.62</v>
      </c>
      <c r="D56" s="13"/>
      <c r="E56" s="13"/>
      <c r="F56" s="13"/>
      <c r="G56" s="13">
        <v>834021.91</v>
      </c>
      <c r="H56" s="13">
        <v>862997.49</v>
      </c>
      <c r="I56" s="13">
        <v>682433.22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20"/>
      <c r="AA56" s="20"/>
      <c r="AB56" s="20"/>
      <c r="AC56" s="20"/>
      <c r="AD56" s="20"/>
      <c r="AE56" s="21"/>
    </row>
    <row r="57" spans="1:31" ht="15" customHeight="1">
      <c r="A57" s="29">
        <v>354</v>
      </c>
      <c r="B57" s="12" t="str">
        <f>"г. Череповец, ул. К.Белова, д. 43"</f>
        <v>г. Череповец, ул. К.Белова, д. 43</v>
      </c>
      <c r="C57" s="13">
        <f t="shared" si="1"/>
        <v>1404669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0">
        <v>1404669</v>
      </c>
      <c r="AA57" s="20"/>
      <c r="AB57" s="20"/>
      <c r="AC57" s="20"/>
      <c r="AD57" s="20"/>
      <c r="AE57" s="21"/>
    </row>
    <row r="58" spans="1:31" ht="15" customHeight="1">
      <c r="A58" s="29">
        <v>355</v>
      </c>
      <c r="B58" s="12" t="str">
        <f>"г. Череповец, ул. К.Белова, д. 45"</f>
        <v>г. Череповец, ул. К.Белова, д. 45</v>
      </c>
      <c r="C58" s="13">
        <f t="shared" si="1"/>
        <v>1404669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0">
        <v>1404669</v>
      </c>
      <c r="AA58" s="20"/>
      <c r="AB58" s="20"/>
      <c r="AC58" s="20"/>
      <c r="AD58" s="20"/>
      <c r="AE58" s="21"/>
    </row>
    <row r="59" spans="1:31" ht="15" customHeight="1">
      <c r="A59" s="29">
        <v>356</v>
      </c>
      <c r="B59" s="12" t="s">
        <v>55</v>
      </c>
      <c r="C59" s="13">
        <f t="shared" si="1"/>
        <v>3021125.04</v>
      </c>
      <c r="D59" s="13"/>
      <c r="E59" s="13"/>
      <c r="F59" s="13"/>
      <c r="G59" s="13">
        <v>653140</v>
      </c>
      <c r="H59" s="13">
        <v>938920.84</v>
      </c>
      <c r="I59" s="13">
        <v>1429064.2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0"/>
      <c r="AA59" s="20"/>
      <c r="AB59" s="20"/>
      <c r="AC59" s="20"/>
      <c r="AD59" s="20"/>
      <c r="AE59" s="21"/>
    </row>
    <row r="60" spans="1:31" ht="15" customHeight="1">
      <c r="A60" s="29">
        <v>357</v>
      </c>
      <c r="B60" s="12" t="s">
        <v>56</v>
      </c>
      <c r="C60" s="13">
        <f t="shared" si="1"/>
        <v>2558678.31</v>
      </c>
      <c r="D60" s="13"/>
      <c r="E60" s="13"/>
      <c r="F60" s="13"/>
      <c r="G60" s="13"/>
      <c r="H60" s="13"/>
      <c r="I60" s="13"/>
      <c r="J60" s="13">
        <v>1</v>
      </c>
      <c r="K60" s="13">
        <v>2558678.31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0"/>
      <c r="AA60" s="20"/>
      <c r="AB60" s="20"/>
      <c r="AC60" s="20"/>
      <c r="AD60" s="20"/>
      <c r="AE60" s="21"/>
    </row>
    <row r="61" spans="1:31" ht="15" customHeight="1">
      <c r="A61" s="29">
        <v>358</v>
      </c>
      <c r="B61" s="12" t="s">
        <v>57</v>
      </c>
      <c r="C61" s="13">
        <f t="shared" si="1"/>
        <v>1575544.7400000002</v>
      </c>
      <c r="D61" s="13"/>
      <c r="E61" s="13"/>
      <c r="F61" s="13"/>
      <c r="G61" s="13">
        <v>680025.89</v>
      </c>
      <c r="H61" s="13">
        <v>428267.73</v>
      </c>
      <c r="I61" s="13">
        <v>467251.12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0"/>
      <c r="AA61" s="20"/>
      <c r="AB61" s="20"/>
      <c r="AC61" s="20"/>
      <c r="AD61" s="20"/>
      <c r="AE61" s="21"/>
    </row>
    <row r="62" spans="1:31" ht="15" customHeight="1">
      <c r="A62" s="29">
        <v>359</v>
      </c>
      <c r="B62" s="12" t="str">
        <f>"г. Череповец, ул. К.Беляева, д. 71А"</f>
        <v>г. Череповец, ул. К.Беляева, д. 71А</v>
      </c>
      <c r="C62" s="13">
        <f t="shared" si="1"/>
        <v>1404669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0">
        <v>1404669</v>
      </c>
      <c r="AA62" s="20"/>
      <c r="AB62" s="20"/>
      <c r="AC62" s="20"/>
      <c r="AD62" s="20"/>
      <c r="AE62" s="21"/>
    </row>
    <row r="63" spans="1:31" ht="15" customHeight="1">
      <c r="A63" s="29">
        <v>360</v>
      </c>
      <c r="B63" s="12" t="s">
        <v>58</v>
      </c>
      <c r="C63" s="13">
        <f t="shared" si="1"/>
        <v>722566.73</v>
      </c>
      <c r="D63" s="13"/>
      <c r="E63" s="13"/>
      <c r="F63" s="13"/>
      <c r="G63" s="13"/>
      <c r="H63" s="13"/>
      <c r="I63" s="13">
        <v>722566.73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0"/>
      <c r="AA63" s="20"/>
      <c r="AB63" s="20"/>
      <c r="AC63" s="20"/>
      <c r="AD63" s="20"/>
      <c r="AE63" s="21"/>
    </row>
    <row r="64" spans="1:31" ht="15" customHeight="1">
      <c r="A64" s="29">
        <v>361</v>
      </c>
      <c r="B64" s="12" t="str">
        <f>"г. Череповец, ул. Краснодонцев, д. 104"</f>
        <v>г. Череповец, ул. Краснодонцев, д. 104</v>
      </c>
      <c r="C64" s="13">
        <f t="shared" si="1"/>
        <v>759136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0"/>
      <c r="AA64" s="20"/>
      <c r="AB64" s="20"/>
      <c r="AC64" s="20">
        <v>759136</v>
      </c>
      <c r="AD64" s="20"/>
      <c r="AE64" s="21"/>
    </row>
    <row r="65" spans="1:31" ht="15" customHeight="1">
      <c r="A65" s="29">
        <v>362</v>
      </c>
      <c r="B65" s="12" t="str">
        <f>"г. Череповец, ул. Краснодонцев, д. 116"</f>
        <v>г. Череповец, ул. Краснодонцев, д. 116</v>
      </c>
      <c r="C65" s="13">
        <f t="shared" si="1"/>
        <v>759136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0"/>
      <c r="AA65" s="20"/>
      <c r="AB65" s="20"/>
      <c r="AC65" s="20">
        <v>759136</v>
      </c>
      <c r="AD65" s="20"/>
      <c r="AE65" s="21"/>
    </row>
    <row r="66" spans="1:31" ht="15" customHeight="1">
      <c r="A66" s="29">
        <v>363</v>
      </c>
      <c r="B66" s="12" t="str">
        <f>"г. Череповец, ул. Краснодонцев, д. 65"</f>
        <v>г. Череповец, ул. Краснодонцев, д. 65</v>
      </c>
      <c r="C66" s="13">
        <f t="shared" si="1"/>
        <v>759136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20"/>
      <c r="AA66" s="20"/>
      <c r="AB66" s="20"/>
      <c r="AC66" s="20">
        <v>759136</v>
      </c>
      <c r="AD66" s="20"/>
      <c r="AE66" s="21"/>
    </row>
    <row r="67" spans="1:31" ht="15" customHeight="1">
      <c r="A67" s="29">
        <v>364</v>
      </c>
      <c r="B67" s="12" t="str">
        <f>"г. Череповец, ул. Краснодонцев, д. 84"</f>
        <v>г. Череповец, ул. Краснодонцев, д. 84</v>
      </c>
      <c r="C67" s="13">
        <f t="shared" si="1"/>
        <v>759136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20"/>
      <c r="AA67" s="20"/>
      <c r="AB67" s="20"/>
      <c r="AC67" s="20">
        <v>759136</v>
      </c>
      <c r="AD67" s="20"/>
      <c r="AE67" s="21"/>
    </row>
    <row r="68" spans="1:31" ht="15" customHeight="1">
      <c r="A68" s="29">
        <v>365</v>
      </c>
      <c r="B68" s="12" t="str">
        <f>"г. Череповец, ул. Ленина, д. 122А"</f>
        <v>г. Череповец, ул. Ленина, д. 122А</v>
      </c>
      <c r="C68" s="13">
        <f t="shared" si="1"/>
        <v>2716800</v>
      </c>
      <c r="D68" s="13"/>
      <c r="E68" s="13">
        <f>1200*2264</f>
        <v>2716800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20"/>
      <c r="AA68" s="20"/>
      <c r="AB68" s="20"/>
      <c r="AC68" s="20"/>
      <c r="AD68" s="20"/>
      <c r="AE68" s="21"/>
    </row>
    <row r="69" spans="1:31" ht="15" customHeight="1">
      <c r="A69" s="29">
        <v>366</v>
      </c>
      <c r="B69" s="12" t="str">
        <f>"г. Череповец, ул. Ленина, д. 126"</f>
        <v>г. Череповец, ул. Ленина, д. 126</v>
      </c>
      <c r="C69" s="13">
        <f t="shared" si="1"/>
        <v>2716800</v>
      </c>
      <c r="D69" s="13"/>
      <c r="E69" s="13">
        <f>1200*2264</f>
        <v>2716800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0"/>
      <c r="AA69" s="20"/>
      <c r="AB69" s="20"/>
      <c r="AC69" s="20"/>
      <c r="AD69" s="20"/>
      <c r="AE69" s="21"/>
    </row>
    <row r="70" spans="1:31" ht="15" customHeight="1">
      <c r="A70" s="29">
        <v>367</v>
      </c>
      <c r="B70" s="12" t="str">
        <f>"г. Череповец, ул. Ленина, д. 128"</f>
        <v>г. Череповец, ул. Ленина, д. 128</v>
      </c>
      <c r="C70" s="13">
        <f t="shared" si="1"/>
        <v>2716800</v>
      </c>
      <c r="D70" s="13"/>
      <c r="E70" s="13">
        <f>1200*2264</f>
        <v>2716800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0"/>
      <c r="AA70" s="20"/>
      <c r="AB70" s="20"/>
      <c r="AC70" s="20"/>
      <c r="AD70" s="20"/>
      <c r="AE70" s="21"/>
    </row>
    <row r="71" spans="1:31" ht="15" customHeight="1">
      <c r="A71" s="29">
        <v>368</v>
      </c>
      <c r="B71" s="12" t="str">
        <f>"г. Череповец, ул. Ленина, д. 132"</f>
        <v>г. Череповец, ул. Ленина, д. 132</v>
      </c>
      <c r="C71" s="13">
        <f t="shared" si="1"/>
        <v>2716800</v>
      </c>
      <c r="D71" s="13"/>
      <c r="E71" s="13">
        <f>1200*2264</f>
        <v>2716800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20"/>
      <c r="AA71" s="20"/>
      <c r="AB71" s="20"/>
      <c r="AC71" s="20"/>
      <c r="AD71" s="20"/>
      <c r="AE71" s="21"/>
    </row>
    <row r="72" spans="1:31" ht="15" customHeight="1">
      <c r="A72" s="29">
        <v>369</v>
      </c>
      <c r="B72" s="12" t="str">
        <f>"г. Череповец, ул. Ленина, д. 136"</f>
        <v>г. Череповец, ул. Ленина, д. 136</v>
      </c>
      <c r="C72" s="13">
        <f t="shared" si="1"/>
        <v>3681264</v>
      </c>
      <c r="D72" s="13"/>
      <c r="E72" s="13">
        <f>1626*2264</f>
        <v>3681264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0"/>
      <c r="AA72" s="20"/>
      <c r="AB72" s="20"/>
      <c r="AC72" s="20"/>
      <c r="AD72" s="20"/>
      <c r="AE72" s="21"/>
    </row>
    <row r="73" spans="1:31" ht="15" customHeight="1">
      <c r="A73" s="29">
        <v>370</v>
      </c>
      <c r="B73" s="12" t="str">
        <f>"г. Череповец, ул. Ленина, д. 140"</f>
        <v>г. Череповец, ул. Ленина, д. 140</v>
      </c>
      <c r="C73" s="13">
        <f t="shared" si="1"/>
        <v>2988480</v>
      </c>
      <c r="D73" s="13"/>
      <c r="E73" s="13">
        <f>1320*2264</f>
        <v>2988480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20"/>
      <c r="AA73" s="20"/>
      <c r="AB73" s="20"/>
      <c r="AC73" s="20"/>
      <c r="AD73" s="20"/>
      <c r="AE73" s="21"/>
    </row>
    <row r="74" spans="1:31" ht="15" customHeight="1">
      <c r="A74" s="29">
        <v>371</v>
      </c>
      <c r="B74" s="12" t="str">
        <f>"г. Череповец, ул. Ленина, д. 142"</f>
        <v>г. Череповец, ул. Ленина, д. 142</v>
      </c>
      <c r="C74" s="13">
        <f t="shared" si="1"/>
        <v>2241360</v>
      </c>
      <c r="D74" s="13"/>
      <c r="E74" s="13">
        <f>990*2264</f>
        <v>2241360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20"/>
      <c r="AA74" s="20"/>
      <c r="AB74" s="20"/>
      <c r="AC74" s="20"/>
      <c r="AD74" s="20"/>
      <c r="AE74" s="21"/>
    </row>
    <row r="75" spans="1:31" ht="15" customHeight="1">
      <c r="A75" s="29">
        <v>372</v>
      </c>
      <c r="B75" s="12" t="str">
        <f>"г. Череповец, ул. Ленина, д. 153А"</f>
        <v>г. Череповец, ул. Ленина, д. 153А</v>
      </c>
      <c r="C75" s="13">
        <f t="shared" si="1"/>
        <v>3328080</v>
      </c>
      <c r="D75" s="13"/>
      <c r="E75" s="13">
        <f>1470*2264</f>
        <v>3328080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0"/>
      <c r="AA75" s="20"/>
      <c r="AB75" s="20"/>
      <c r="AC75" s="20"/>
      <c r="AD75" s="20"/>
      <c r="AE75" s="21"/>
    </row>
    <row r="76" spans="1:31" ht="15" customHeight="1">
      <c r="A76" s="29">
        <v>373</v>
      </c>
      <c r="B76" s="12" t="str">
        <f>"г. Череповец, ул. Ленина, д. 155"</f>
        <v>г. Череповец, ул. Ленина, д. 155</v>
      </c>
      <c r="C76" s="13">
        <f t="shared" si="1"/>
        <v>2807360</v>
      </c>
      <c r="D76" s="13"/>
      <c r="E76" s="13">
        <f>1240*2264</f>
        <v>2807360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20"/>
      <c r="AA76" s="20"/>
      <c r="AB76" s="20"/>
      <c r="AC76" s="20"/>
      <c r="AD76" s="20"/>
      <c r="AE76" s="21"/>
    </row>
    <row r="77" spans="1:31" ht="15" customHeight="1">
      <c r="A77" s="29">
        <v>374</v>
      </c>
      <c r="B77" s="12" t="str">
        <f>"г. Череповец, ул. Ленина, д. 155А"</f>
        <v>г. Череповец, ул. Ленина, д. 155А</v>
      </c>
      <c r="C77" s="13">
        <f t="shared" si="1"/>
        <v>2807360</v>
      </c>
      <c r="D77" s="13"/>
      <c r="E77" s="13">
        <f>1240*2264</f>
        <v>2807360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20"/>
      <c r="AA77" s="20"/>
      <c r="AB77" s="20"/>
      <c r="AC77" s="20"/>
      <c r="AD77" s="20"/>
      <c r="AE77" s="21"/>
    </row>
    <row r="78" spans="1:31" ht="15" customHeight="1">
      <c r="A78" s="29">
        <v>375</v>
      </c>
      <c r="B78" s="12" t="str">
        <f>"г. Череповец, ул. Ленина, д. 169"</f>
        <v>г. Череповец, ул. Ленина, д. 169</v>
      </c>
      <c r="C78" s="13">
        <f t="shared" si="1"/>
        <v>2807360</v>
      </c>
      <c r="D78" s="13"/>
      <c r="E78" s="13">
        <f>1240*2264</f>
        <v>2807360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20"/>
      <c r="AA78" s="20"/>
      <c r="AB78" s="20"/>
      <c r="AC78" s="20"/>
      <c r="AD78" s="20"/>
      <c r="AE78" s="21"/>
    </row>
    <row r="79" spans="1:31" ht="15" customHeight="1">
      <c r="A79" s="29">
        <v>376</v>
      </c>
      <c r="B79" s="12" t="str">
        <f>"г. Череповец, ул. Ленина, д. 173"</f>
        <v>г. Череповец, ул. Ленина, д. 173</v>
      </c>
      <c r="C79" s="13">
        <f t="shared" si="1"/>
        <v>2807360</v>
      </c>
      <c r="D79" s="13"/>
      <c r="E79" s="13">
        <f>1240*2264</f>
        <v>2807360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20"/>
      <c r="AA79" s="20"/>
      <c r="AB79" s="20"/>
      <c r="AC79" s="20"/>
      <c r="AD79" s="20"/>
      <c r="AE79" s="21"/>
    </row>
    <row r="80" spans="1:31" ht="15" customHeight="1">
      <c r="A80" s="29">
        <v>377</v>
      </c>
      <c r="B80" s="12" t="s">
        <v>59</v>
      </c>
      <c r="C80" s="13">
        <f t="shared" si="1"/>
        <v>9468426.06</v>
      </c>
      <c r="D80" s="13"/>
      <c r="E80" s="13"/>
      <c r="F80" s="13"/>
      <c r="G80" s="13"/>
      <c r="H80" s="13"/>
      <c r="I80" s="13"/>
      <c r="J80" s="13">
        <v>4</v>
      </c>
      <c r="K80" s="13">
        <v>9468426.06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20"/>
      <c r="AA80" s="20"/>
      <c r="AB80" s="20"/>
      <c r="AC80" s="20"/>
      <c r="AD80" s="20"/>
      <c r="AE80" s="21"/>
    </row>
    <row r="81" spans="1:31" ht="15" customHeight="1">
      <c r="A81" s="29">
        <v>378</v>
      </c>
      <c r="B81" s="12" t="s">
        <v>60</v>
      </c>
      <c r="C81" s="13">
        <f t="shared" si="1"/>
        <v>2050844.9300000002</v>
      </c>
      <c r="D81" s="13"/>
      <c r="E81" s="13"/>
      <c r="F81" s="13"/>
      <c r="G81" s="13">
        <v>417348.34</v>
      </c>
      <c r="H81" s="13">
        <v>628402.2</v>
      </c>
      <c r="I81" s="13">
        <v>1005094.39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20"/>
      <c r="AA81" s="20"/>
      <c r="AB81" s="20"/>
      <c r="AC81" s="20"/>
      <c r="AD81" s="20"/>
      <c r="AE81" s="21"/>
    </row>
    <row r="82" spans="1:31" ht="15" customHeight="1">
      <c r="A82" s="29">
        <v>379</v>
      </c>
      <c r="B82" s="12" t="str">
        <f>"г. Череповец, ул. Ленина, д. 61"</f>
        <v>г. Череповец, ул. Ленина, д. 61</v>
      </c>
      <c r="C82" s="13">
        <f t="shared" si="1"/>
        <v>810825</v>
      </c>
      <c r="D82" s="13"/>
      <c r="E82" s="13"/>
      <c r="F82" s="13"/>
      <c r="G82" s="23"/>
      <c r="H82" s="23"/>
      <c r="I82" s="13">
        <f>285*2845</f>
        <v>810825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20"/>
      <c r="AA82" s="20"/>
      <c r="AB82" s="20"/>
      <c r="AC82" s="20"/>
      <c r="AD82" s="20"/>
      <c r="AE82" s="21"/>
    </row>
    <row r="83" spans="1:31" ht="15" customHeight="1">
      <c r="A83" s="29">
        <v>380</v>
      </c>
      <c r="B83" s="12" t="s">
        <v>61</v>
      </c>
      <c r="C83" s="13">
        <f t="shared" si="1"/>
        <v>3652316.19</v>
      </c>
      <c r="D83" s="13"/>
      <c r="E83" s="13"/>
      <c r="F83" s="13"/>
      <c r="G83" s="13">
        <v>400459.31</v>
      </c>
      <c r="H83" s="13">
        <v>2254027.07</v>
      </c>
      <c r="I83" s="13">
        <v>997829.81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20"/>
      <c r="AA83" s="20"/>
      <c r="AB83" s="20"/>
      <c r="AC83" s="20"/>
      <c r="AD83" s="20"/>
      <c r="AE83" s="21"/>
    </row>
    <row r="84" spans="1:31" ht="15" customHeight="1">
      <c r="A84" s="29">
        <v>381</v>
      </c>
      <c r="B84" s="12" t="s">
        <v>62</v>
      </c>
      <c r="C84" s="13">
        <f t="shared" si="1"/>
        <v>2503740.79</v>
      </c>
      <c r="D84" s="13"/>
      <c r="E84" s="13"/>
      <c r="F84" s="13"/>
      <c r="G84" s="13"/>
      <c r="H84" s="13"/>
      <c r="I84" s="13"/>
      <c r="J84" s="13">
        <v>1</v>
      </c>
      <c r="K84" s="13">
        <v>2503740.79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20"/>
      <c r="AA84" s="20"/>
      <c r="AB84" s="20"/>
      <c r="AC84" s="20"/>
      <c r="AD84" s="20"/>
      <c r="AE84" s="21"/>
    </row>
    <row r="85" spans="1:31" ht="15" customHeight="1">
      <c r="A85" s="29">
        <v>382</v>
      </c>
      <c r="B85" s="12" t="s">
        <v>63</v>
      </c>
      <c r="C85" s="13">
        <f t="shared" si="1"/>
        <v>2509874.53</v>
      </c>
      <c r="D85" s="13"/>
      <c r="E85" s="13"/>
      <c r="F85" s="13"/>
      <c r="G85" s="13"/>
      <c r="H85" s="13"/>
      <c r="I85" s="13"/>
      <c r="J85" s="13">
        <v>1</v>
      </c>
      <c r="K85" s="13">
        <v>2509874.53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20"/>
      <c r="AA85" s="20"/>
      <c r="AB85" s="20"/>
      <c r="AC85" s="20"/>
      <c r="AD85" s="20"/>
      <c r="AE85" s="21"/>
    </row>
    <row r="86" spans="1:31" ht="15" customHeight="1">
      <c r="A86" s="29">
        <v>383</v>
      </c>
      <c r="B86" s="12" t="s">
        <v>64</v>
      </c>
      <c r="C86" s="13">
        <f t="shared" si="1"/>
        <v>2503912</v>
      </c>
      <c r="D86" s="13"/>
      <c r="E86" s="13"/>
      <c r="F86" s="13"/>
      <c r="G86" s="13"/>
      <c r="H86" s="13"/>
      <c r="I86" s="13"/>
      <c r="J86" s="13">
        <v>1</v>
      </c>
      <c r="K86" s="13">
        <v>2503912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20"/>
      <c r="AA86" s="20"/>
      <c r="AB86" s="20"/>
      <c r="AC86" s="20"/>
      <c r="AD86" s="20"/>
      <c r="AE86" s="21"/>
    </row>
    <row r="87" spans="1:31" ht="15" customHeight="1">
      <c r="A87" s="29">
        <v>384</v>
      </c>
      <c r="B87" s="12" t="str">
        <f>"г. Череповец, ул. М.Горького, д. 87"</f>
        <v>г. Череповец, ул. М.Горького, д. 87</v>
      </c>
      <c r="C87" s="13">
        <f t="shared" si="1"/>
        <v>3028500</v>
      </c>
      <c r="D87" s="13">
        <f>4038*750</f>
        <v>3028500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20"/>
      <c r="AA87" s="20"/>
      <c r="AB87" s="20"/>
      <c r="AC87" s="20"/>
      <c r="AD87" s="20"/>
      <c r="AE87" s="21"/>
    </row>
    <row r="88" spans="1:31" ht="15" customHeight="1">
      <c r="A88" s="29">
        <v>385</v>
      </c>
      <c r="B88" s="12" t="str">
        <f>"г. Череповец, ул. Металлургов, д. 1"</f>
        <v>г. Череповец, ул. Металлургов, д. 1</v>
      </c>
      <c r="C88" s="13">
        <f t="shared" si="1"/>
        <v>1811200</v>
      </c>
      <c r="D88" s="13"/>
      <c r="E88" s="13">
        <f>800*2264</f>
        <v>1811200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20"/>
      <c r="AA88" s="20"/>
      <c r="AB88" s="20"/>
      <c r="AC88" s="20"/>
      <c r="AD88" s="20"/>
      <c r="AE88" s="21"/>
    </row>
    <row r="89" spans="1:31" ht="15" customHeight="1">
      <c r="A89" s="29">
        <v>386</v>
      </c>
      <c r="B89" s="12" t="str">
        <f>"г. Череповец, ул. Металлургов, д. 11"</f>
        <v>г. Череповец, ул. Металлургов, д. 11</v>
      </c>
      <c r="C89" s="13">
        <f t="shared" si="1"/>
        <v>4803000</v>
      </c>
      <c r="D89" s="13">
        <f>500*4038</f>
        <v>2019000</v>
      </c>
      <c r="E89" s="13">
        <f>300*9280</f>
        <v>2784000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20"/>
      <c r="AA89" s="20"/>
      <c r="AB89" s="20"/>
      <c r="AC89" s="20"/>
      <c r="AD89" s="20"/>
      <c r="AE89" s="21"/>
    </row>
    <row r="90" spans="1:31" ht="15" customHeight="1">
      <c r="A90" s="29">
        <v>387</v>
      </c>
      <c r="B90" s="12" t="str">
        <f>"г. Череповец, ул. Металлургов, д. 4"</f>
        <v>г. Череповец, ул. Металлургов, д. 4</v>
      </c>
      <c r="C90" s="13">
        <f t="shared" si="1"/>
        <v>2916032</v>
      </c>
      <c r="D90" s="13"/>
      <c r="E90" s="13">
        <f>1288*2264</f>
        <v>2916032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20"/>
      <c r="AA90" s="20"/>
      <c r="AB90" s="20"/>
      <c r="AC90" s="20"/>
      <c r="AD90" s="20"/>
      <c r="AE90" s="21"/>
    </row>
    <row r="91" spans="1:31" ht="15" customHeight="1">
      <c r="A91" s="29">
        <v>388</v>
      </c>
      <c r="B91" s="12" t="str">
        <f>"г. Череповец, ул. Металлургов, д. 4А"</f>
        <v>г. Череповец, ул. Металлургов, д. 4А</v>
      </c>
      <c r="C91" s="13">
        <f t="shared" si="1"/>
        <v>2916032</v>
      </c>
      <c r="D91" s="13"/>
      <c r="E91" s="13">
        <f>1288*2264</f>
        <v>2916032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20"/>
      <c r="AA91" s="20"/>
      <c r="AB91" s="20"/>
      <c r="AC91" s="20"/>
      <c r="AD91" s="20"/>
      <c r="AE91" s="21"/>
    </row>
    <row r="92" spans="1:31" ht="15" customHeight="1">
      <c r="A92" s="29">
        <v>389</v>
      </c>
      <c r="B92" s="12" t="str">
        <f>"г. Череповец, ул. Металлургов, д. 43"</f>
        <v>г. Череповец, ул. Металлургов, д. 43</v>
      </c>
      <c r="C92" s="13">
        <f t="shared" si="1"/>
        <v>2241360</v>
      </c>
      <c r="D92" s="13"/>
      <c r="E92" s="13">
        <f>990*2264</f>
        <v>2241360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20"/>
      <c r="AA92" s="20"/>
      <c r="AB92" s="20"/>
      <c r="AC92" s="20"/>
      <c r="AD92" s="20"/>
      <c r="AE92" s="21"/>
    </row>
    <row r="93" spans="1:31" ht="15" customHeight="1">
      <c r="A93" s="29">
        <v>390</v>
      </c>
      <c r="B93" s="12" t="str">
        <f>"г. Череповец, ул. Металлургов, д. 45"</f>
        <v>г. Череповец, ул. Металлургов, д. 45</v>
      </c>
      <c r="C93" s="13">
        <f t="shared" si="1"/>
        <v>2988480</v>
      </c>
      <c r="D93" s="13"/>
      <c r="E93" s="13">
        <f>1320*2264</f>
        <v>2988480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20"/>
      <c r="AA93" s="20"/>
      <c r="AB93" s="20"/>
      <c r="AC93" s="20"/>
      <c r="AD93" s="20"/>
      <c r="AE93" s="21"/>
    </row>
    <row r="94" spans="1:31" ht="15" customHeight="1">
      <c r="A94" s="29">
        <v>391</v>
      </c>
      <c r="B94" s="12" t="s">
        <v>65</v>
      </c>
      <c r="C94" s="13">
        <f t="shared" si="1"/>
        <v>4477589.6</v>
      </c>
      <c r="D94" s="13"/>
      <c r="E94" s="13"/>
      <c r="F94" s="13"/>
      <c r="G94" s="13"/>
      <c r="H94" s="13"/>
      <c r="I94" s="13"/>
      <c r="J94" s="13"/>
      <c r="K94" s="13"/>
      <c r="L94" s="13">
        <v>1150</v>
      </c>
      <c r="M94" s="13">
        <v>4477589.6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20"/>
      <c r="AA94" s="20"/>
      <c r="AB94" s="20"/>
      <c r="AC94" s="20"/>
      <c r="AD94" s="20"/>
      <c r="AE94" s="21"/>
    </row>
    <row r="95" spans="1:31" ht="15" customHeight="1">
      <c r="A95" s="29">
        <v>392</v>
      </c>
      <c r="B95" s="12" t="str">
        <f>"г. Череповец, ул. Металлургов, д. 51"</f>
        <v>г. Череповец, ул. Металлургов, д. 51</v>
      </c>
      <c r="C95" s="13">
        <f t="shared" si="1"/>
        <v>3002064</v>
      </c>
      <c r="D95" s="13"/>
      <c r="E95" s="13">
        <f>1326*2264</f>
        <v>3002064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20"/>
      <c r="AA95" s="20"/>
      <c r="AB95" s="20"/>
      <c r="AC95" s="20"/>
      <c r="AD95" s="20"/>
      <c r="AE95" s="21"/>
    </row>
    <row r="96" spans="1:31" ht="15" customHeight="1">
      <c r="A96" s="29">
        <v>393</v>
      </c>
      <c r="B96" s="12" t="str">
        <f>"г. Череповец, ул. Металлургов, д. 67"</f>
        <v>г. Череповец, ул. Металлургов, д. 67</v>
      </c>
      <c r="C96" s="13">
        <f t="shared" si="1"/>
        <v>1675360</v>
      </c>
      <c r="D96" s="13"/>
      <c r="E96" s="13">
        <f>740*2264</f>
        <v>1675360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20"/>
      <c r="AA96" s="20"/>
      <c r="AB96" s="20"/>
      <c r="AC96" s="20"/>
      <c r="AD96" s="20"/>
      <c r="AE96" s="21"/>
    </row>
    <row r="97" spans="1:31" ht="15" customHeight="1">
      <c r="A97" s="29">
        <v>394</v>
      </c>
      <c r="B97" s="12" t="s">
        <v>66</v>
      </c>
      <c r="C97" s="13">
        <f t="shared" si="1"/>
        <v>1777663</v>
      </c>
      <c r="D97" s="13"/>
      <c r="E97" s="13"/>
      <c r="F97" s="13"/>
      <c r="G97" s="13">
        <v>586775.37</v>
      </c>
      <c r="H97" s="13">
        <v>595697.57</v>
      </c>
      <c r="I97" s="13">
        <v>595190.06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20"/>
      <c r="AA97" s="20"/>
      <c r="AB97" s="20"/>
      <c r="AC97" s="20"/>
      <c r="AD97" s="20"/>
      <c r="AE97" s="21"/>
    </row>
    <row r="98" spans="1:31" ht="15" customHeight="1">
      <c r="A98" s="29">
        <v>395</v>
      </c>
      <c r="B98" s="12" t="str">
        <f>"г. Череповец, ул. Милютина, д. 13"</f>
        <v>г. Череповец, ул. Милютина, д. 13</v>
      </c>
      <c r="C98" s="13">
        <f t="shared" si="1"/>
        <v>1817100</v>
      </c>
      <c r="D98" s="13">
        <f>450*4038</f>
        <v>1817100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20"/>
      <c r="AA98" s="20"/>
      <c r="AB98" s="20"/>
      <c r="AC98" s="20"/>
      <c r="AD98" s="20"/>
      <c r="AE98" s="21"/>
    </row>
    <row r="99" spans="1:31" ht="15" customHeight="1">
      <c r="A99" s="29">
        <v>396</v>
      </c>
      <c r="B99" s="12" t="str">
        <f>"г. Череповец, ул. Набережная, д. 51"</f>
        <v>г. Череповец, ул. Набережная, д. 51</v>
      </c>
      <c r="C99" s="13">
        <f t="shared" si="1"/>
        <v>4441800</v>
      </c>
      <c r="D99" s="13">
        <f>1100*4038</f>
        <v>4441800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20"/>
      <c r="AA99" s="20"/>
      <c r="AB99" s="20"/>
      <c r="AC99" s="20"/>
      <c r="AD99" s="20"/>
      <c r="AE99" s="21"/>
    </row>
    <row r="100" spans="1:31" ht="15" customHeight="1">
      <c r="A100" s="29">
        <v>397</v>
      </c>
      <c r="B100" s="12" t="str">
        <f>"г. Череповец, ул. Набережная, д. 59"</f>
        <v>г. Череповец, ул. Набережная, д. 59</v>
      </c>
      <c r="C100" s="13">
        <f t="shared" si="1"/>
        <v>8785512</v>
      </c>
      <c r="D100" s="13"/>
      <c r="E100" s="13"/>
      <c r="F100" s="13"/>
      <c r="G100" s="13"/>
      <c r="H100" s="13"/>
      <c r="I100" s="13"/>
      <c r="J100" s="13">
        <v>2</v>
      </c>
      <c r="K100" s="13">
        <f>2*4392756</f>
        <v>8785512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20"/>
      <c r="AA100" s="20"/>
      <c r="AB100" s="20"/>
      <c r="AC100" s="20"/>
      <c r="AD100" s="20"/>
      <c r="AE100" s="21"/>
    </row>
    <row r="101" spans="1:31" ht="15" customHeight="1">
      <c r="A101" s="29">
        <v>398</v>
      </c>
      <c r="B101" s="12" t="str">
        <f>"г. Череповец, ул. Новая Школьная, д. 2"</f>
        <v>г. Череповец, ул. Новая Школьная, д. 2</v>
      </c>
      <c r="C101" s="13">
        <f t="shared" si="1"/>
        <v>3997620</v>
      </c>
      <c r="D101" s="13">
        <f>990*4038</f>
        <v>3997620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20"/>
      <c r="AA101" s="20"/>
      <c r="AB101" s="20"/>
      <c r="AC101" s="20"/>
      <c r="AD101" s="20"/>
      <c r="AE101" s="21"/>
    </row>
    <row r="102" spans="1:31" ht="15" customHeight="1">
      <c r="A102" s="29">
        <v>399</v>
      </c>
      <c r="B102" s="12" t="str">
        <f>"г. Череповец, ул. Новая Школьная, д. 3"</f>
        <v>г. Череповец, ул. Новая Школьная, д. 3</v>
      </c>
      <c r="C102" s="13">
        <f t="shared" si="1"/>
        <v>2705460</v>
      </c>
      <c r="D102" s="13">
        <f>670*4038</f>
        <v>2705460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20"/>
      <c r="AA102" s="20"/>
      <c r="AB102" s="20"/>
      <c r="AC102" s="20"/>
      <c r="AD102" s="20"/>
      <c r="AE102" s="21"/>
    </row>
    <row r="103" spans="1:31" ht="15" customHeight="1">
      <c r="A103" s="29">
        <v>400</v>
      </c>
      <c r="B103" s="12" t="str">
        <f>"г. Череповец, ул. Олимпийская, д. 53"</f>
        <v>г. Череповец, ул. Олимпийская, д. 53</v>
      </c>
      <c r="C103" s="13">
        <f t="shared" si="1"/>
        <v>759136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20"/>
      <c r="AA103" s="20"/>
      <c r="AB103" s="20"/>
      <c r="AC103" s="20">
        <v>759136</v>
      </c>
      <c r="AD103" s="20"/>
      <c r="AE103" s="21"/>
    </row>
    <row r="104" spans="1:31" ht="15" customHeight="1">
      <c r="A104" s="29">
        <v>401</v>
      </c>
      <c r="B104" s="12" t="s">
        <v>67</v>
      </c>
      <c r="C104" s="13">
        <f t="shared" si="1"/>
        <v>3886929.92</v>
      </c>
      <c r="D104" s="13"/>
      <c r="E104" s="13"/>
      <c r="F104" s="13"/>
      <c r="G104" s="13"/>
      <c r="H104" s="13"/>
      <c r="I104" s="13"/>
      <c r="J104" s="13"/>
      <c r="K104" s="13"/>
      <c r="L104" s="13">
        <v>832.4</v>
      </c>
      <c r="M104" s="13">
        <v>3886929.92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20"/>
      <c r="AA104" s="20"/>
      <c r="AB104" s="20"/>
      <c r="AC104" s="20"/>
      <c r="AD104" s="20"/>
      <c r="AE104" s="21"/>
    </row>
    <row r="105" spans="1:31" ht="15" customHeight="1">
      <c r="A105" s="29">
        <v>402</v>
      </c>
      <c r="B105" s="12" t="s">
        <v>68</v>
      </c>
      <c r="C105" s="13">
        <f t="shared" si="1"/>
        <v>3886929.92</v>
      </c>
      <c r="D105" s="13"/>
      <c r="E105" s="13"/>
      <c r="F105" s="13"/>
      <c r="G105" s="13"/>
      <c r="H105" s="13"/>
      <c r="I105" s="13"/>
      <c r="J105" s="13"/>
      <c r="K105" s="13"/>
      <c r="L105" s="13">
        <v>832.4</v>
      </c>
      <c r="M105" s="13">
        <v>3886929.92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20"/>
      <c r="AA105" s="20"/>
      <c r="AB105" s="20"/>
      <c r="AC105" s="20"/>
      <c r="AD105" s="20"/>
      <c r="AE105" s="21"/>
    </row>
    <row r="106" spans="1:31" ht="15" customHeight="1">
      <c r="A106" s="29">
        <v>403</v>
      </c>
      <c r="B106" s="12" t="str">
        <f>"г. Череповец, ул. Первомайская, д. 52"</f>
        <v>г. Череповец, ул. Первомайская, д. 52</v>
      </c>
      <c r="C106" s="13">
        <f t="shared" si="1"/>
        <v>8385000</v>
      </c>
      <c r="D106" s="13"/>
      <c r="E106" s="13"/>
      <c r="F106" s="13"/>
      <c r="G106" s="13">
        <f>2150*1796</f>
        <v>3861400</v>
      </c>
      <c r="H106" s="13">
        <f>2150*2104</f>
        <v>4523600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20"/>
      <c r="AA106" s="20"/>
      <c r="AB106" s="20"/>
      <c r="AC106" s="20"/>
      <c r="AD106" s="20"/>
      <c r="AE106" s="21"/>
    </row>
    <row r="107" spans="1:31" ht="15" customHeight="1">
      <c r="A107" s="29">
        <v>404</v>
      </c>
      <c r="B107" s="12" t="str">
        <f>"г. Череповец, ул. Сталеваров, д. 73"</f>
        <v>г. Череповец, ул. Сталеваров, д. 73</v>
      </c>
      <c r="C107" s="13">
        <f t="shared" si="1"/>
        <v>8785512</v>
      </c>
      <c r="D107" s="13"/>
      <c r="E107" s="13"/>
      <c r="F107" s="13"/>
      <c r="G107" s="13"/>
      <c r="H107" s="13"/>
      <c r="I107" s="13"/>
      <c r="J107" s="13">
        <v>2</v>
      </c>
      <c r="K107" s="13">
        <v>8785512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20"/>
      <c r="AA107" s="20"/>
      <c r="AB107" s="20"/>
      <c r="AC107" s="20"/>
      <c r="AD107" s="20"/>
      <c r="AE107" s="21"/>
    </row>
    <row r="108" spans="1:31" ht="15" customHeight="1">
      <c r="A108" s="29">
        <v>405</v>
      </c>
      <c r="B108" s="12" t="s">
        <v>69</v>
      </c>
      <c r="C108" s="13">
        <f t="shared" si="1"/>
        <v>6309949.01</v>
      </c>
      <c r="D108" s="13"/>
      <c r="E108" s="13"/>
      <c r="F108" s="13"/>
      <c r="G108" s="13"/>
      <c r="H108" s="13"/>
      <c r="I108" s="13"/>
      <c r="J108" s="13"/>
      <c r="K108" s="13"/>
      <c r="L108" s="13">
        <v>1094.6</v>
      </c>
      <c r="M108" s="13">
        <v>6309949.01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20"/>
      <c r="AA108" s="20"/>
      <c r="AB108" s="20"/>
      <c r="AC108" s="20"/>
      <c r="AD108" s="20"/>
      <c r="AE108" s="21"/>
    </row>
    <row r="109" spans="1:31" ht="15" customHeight="1">
      <c r="A109" s="29">
        <v>406</v>
      </c>
      <c r="B109" s="12" t="str">
        <f>"г. Череповец, ул. Центральная, д. 17"</f>
        <v>г. Череповец, ул. Центральная, д. 17</v>
      </c>
      <c r="C109" s="13">
        <f t="shared" si="1"/>
        <v>2705460</v>
      </c>
      <c r="D109" s="13">
        <f>670*4038</f>
        <v>2705460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20"/>
      <c r="AA109" s="20"/>
      <c r="AB109" s="20"/>
      <c r="AC109" s="20"/>
      <c r="AD109" s="20"/>
      <c r="AE109" s="21"/>
    </row>
    <row r="110" spans="1:31" ht="15" customHeight="1">
      <c r="A110" s="29">
        <v>407</v>
      </c>
      <c r="B110" s="12" t="str">
        <f>"г. Череповец, ул. Центральная, д. 5"</f>
        <v>г. Череповец, ул. Центральная, д. 5</v>
      </c>
      <c r="C110" s="13">
        <f t="shared" si="1"/>
        <v>1403867.2</v>
      </c>
      <c r="D110" s="13"/>
      <c r="E110" s="13"/>
      <c r="F110" s="13"/>
      <c r="G110" s="13"/>
      <c r="H110" s="13"/>
      <c r="I110" s="13">
        <f>147940</f>
        <v>147940</v>
      </c>
      <c r="J110" s="13"/>
      <c r="K110" s="13"/>
      <c r="L110" s="13">
        <v>252.6</v>
      </c>
      <c r="M110" s="13">
        <f>252.6*4972</f>
        <v>1255927.2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20"/>
      <c r="AA110" s="20"/>
      <c r="AB110" s="20"/>
      <c r="AC110" s="20"/>
      <c r="AD110" s="20"/>
      <c r="AE110" s="21"/>
    </row>
    <row r="111" spans="1:31" ht="15" customHeight="1">
      <c r="A111" s="29">
        <v>408</v>
      </c>
      <c r="B111" s="12" t="str">
        <f>"г. Череповец, ул. Центральная, д. 7"</f>
        <v>г. Череповец, ул. Центральная, д. 7</v>
      </c>
      <c r="C111" s="13">
        <f t="shared" si="1"/>
        <v>1403867.2</v>
      </c>
      <c r="D111" s="13"/>
      <c r="E111" s="13"/>
      <c r="F111" s="13"/>
      <c r="G111" s="13"/>
      <c r="H111" s="13"/>
      <c r="I111" s="13">
        <f>147940</f>
        <v>147940</v>
      </c>
      <c r="J111" s="13"/>
      <c r="K111" s="13"/>
      <c r="L111" s="13">
        <v>252.6</v>
      </c>
      <c r="M111" s="13">
        <f>252.6*4972</f>
        <v>1255927.2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20"/>
      <c r="AA111" s="20"/>
      <c r="AB111" s="20"/>
      <c r="AC111" s="20"/>
      <c r="AD111" s="20"/>
      <c r="AE111" s="21"/>
    </row>
    <row r="112" spans="1:31" ht="15" customHeight="1">
      <c r="A112" s="29">
        <v>409</v>
      </c>
      <c r="B112" s="12" t="str">
        <f>"г. Череповец, ул. Чкалова, д. 19"</f>
        <v>г. Череповец, ул. Чкалова, д. 19</v>
      </c>
      <c r="C112" s="13">
        <f t="shared" si="1"/>
        <v>2010432</v>
      </c>
      <c r="D112" s="13"/>
      <c r="E112" s="13">
        <f>888*2264</f>
        <v>2010432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20"/>
      <c r="AA112" s="20"/>
      <c r="AB112" s="20"/>
      <c r="AC112" s="20"/>
      <c r="AD112" s="20"/>
      <c r="AE112" s="21"/>
    </row>
    <row r="113" spans="1:31" ht="15" customHeight="1">
      <c r="A113" s="29">
        <v>410</v>
      </c>
      <c r="B113" s="12" t="str">
        <f>"г. Череповец, ул. Чкалова, д. 23"</f>
        <v>г. Череповец, ул. Чкалова, д. 23</v>
      </c>
      <c r="C113" s="13">
        <f t="shared" si="1"/>
        <v>2010432</v>
      </c>
      <c r="D113" s="13"/>
      <c r="E113" s="13">
        <f>888*2264</f>
        <v>2010432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20"/>
      <c r="AA113" s="20"/>
      <c r="AB113" s="20"/>
      <c r="AC113" s="20"/>
      <c r="AD113" s="20"/>
      <c r="AE113" s="21"/>
    </row>
    <row r="114" spans="1:31" ht="15" customHeight="1">
      <c r="A114" s="29">
        <v>411</v>
      </c>
      <c r="B114" s="12" t="str">
        <f>"г. Череповец, ул. Чкалова, д. 2/30"</f>
        <v>г. Череповец, ул. Чкалова, д. 2/30</v>
      </c>
      <c r="C114" s="13">
        <f t="shared" si="1"/>
        <v>2010432</v>
      </c>
      <c r="D114" s="13"/>
      <c r="E114" s="13">
        <f>888*2264</f>
        <v>2010432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20"/>
      <c r="AA114" s="20"/>
      <c r="AB114" s="20"/>
      <c r="AC114" s="20"/>
      <c r="AD114" s="20"/>
      <c r="AE114" s="21"/>
    </row>
    <row r="115" spans="1:31" ht="15" customHeight="1">
      <c r="A115" s="29">
        <v>412</v>
      </c>
      <c r="B115" s="12" t="str">
        <f>"г. Череповец, ул. Юбилейная, д. 16"</f>
        <v>г. Череповец, ул. Юбилейная, д. 16</v>
      </c>
      <c r="C115" s="13">
        <f t="shared" si="1"/>
        <v>1404669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20">
        <v>1404669</v>
      </c>
      <c r="AA115" s="20"/>
      <c r="AB115" s="20"/>
      <c r="AC115" s="20"/>
      <c r="AD115" s="20"/>
      <c r="AE115" s="21"/>
    </row>
    <row r="116" spans="1:31" ht="15" customHeight="1">
      <c r="A116" s="29">
        <v>413</v>
      </c>
      <c r="B116" s="12" t="str">
        <f>"г. Череповец, ул. Юбилейная, д. 28"</f>
        <v>г. Череповец, ул. Юбилейная, д. 28</v>
      </c>
      <c r="C116" s="13">
        <f t="shared" si="1"/>
        <v>759136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20"/>
      <c r="AA116" s="20"/>
      <c r="AB116" s="20"/>
      <c r="AC116" s="20">
        <v>759136</v>
      </c>
      <c r="AD116" s="20"/>
      <c r="AE116" s="21"/>
    </row>
    <row r="117" spans="1:31" ht="15" customHeight="1">
      <c r="A117" s="29">
        <v>414</v>
      </c>
      <c r="B117" s="12" t="str">
        <f>"г. Череповец, ул. Юбилейная, д. 48"</f>
        <v>г. Череповец, ул. Юбилейная, д. 48</v>
      </c>
      <c r="C117" s="13">
        <f t="shared" si="1"/>
        <v>759136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20"/>
      <c r="AA117" s="20"/>
      <c r="AB117" s="20"/>
      <c r="AC117" s="20">
        <v>759136</v>
      </c>
      <c r="AD117" s="20"/>
      <c r="AE117" s="21"/>
    </row>
    <row r="118" spans="1:31" ht="15" customHeight="1">
      <c r="A118" s="29">
        <v>415</v>
      </c>
      <c r="B118" s="12" t="str">
        <f>"г. Череповец, ул. Юбилейная, д. 64"</f>
        <v>г. Череповец, ул. Юбилейная, д. 64</v>
      </c>
      <c r="C118" s="13">
        <f>D118+E118+F118+G118+H118+I118+K118+M118+O118+Q118+S118+T118+U118+V118+W118+X118+Y118+Z118+AA118+AB118+AC118+AD118</f>
        <v>759136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20"/>
      <c r="AA118" s="20"/>
      <c r="AB118" s="20"/>
      <c r="AC118" s="20">
        <v>759136</v>
      </c>
      <c r="AD118" s="20"/>
      <c r="AE118" s="21"/>
    </row>
    <row r="119" spans="1:48" ht="15" customHeight="1">
      <c r="A119" s="38" t="s">
        <v>1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40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</row>
    <row r="120" spans="1:30" ht="15" customHeight="1">
      <c r="A120" s="27">
        <v>291</v>
      </c>
      <c r="B120" s="12" t="str">
        <f>"г. Череповец, б-р. Доменщиков, д. 39Б"</f>
        <v>г. Череповец, б-р. Доменщиков, д. 39Б</v>
      </c>
      <c r="C120" s="13">
        <f aca="true" t="shared" si="2" ref="C120:C200">D120+E120+F120+G120+H120+I120+K120+M120+O120+Q120+S120+T120+U120+V120+W120+X120+Y120+Z120+AA120+AB120+AC120+AD120</f>
        <v>1295008</v>
      </c>
      <c r="D120" s="13"/>
      <c r="E120" s="13"/>
      <c r="F120" s="13">
        <v>1295008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20"/>
      <c r="AA120" s="20"/>
      <c r="AB120" s="20"/>
      <c r="AC120" s="20"/>
      <c r="AD120" s="20"/>
    </row>
    <row r="121" spans="1:30" ht="15" customHeight="1">
      <c r="A121" s="27">
        <v>292</v>
      </c>
      <c r="B121" s="12" t="str">
        <f>"г. Череповец, б-р. Доменщиков, д. 41"</f>
        <v>г. Череповец, б-р. Доменщиков, д. 41</v>
      </c>
      <c r="C121" s="13">
        <f t="shared" si="2"/>
        <v>561472</v>
      </c>
      <c r="D121" s="13"/>
      <c r="E121" s="13"/>
      <c r="F121" s="13">
        <v>561472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20"/>
      <c r="AA121" s="20"/>
      <c r="AB121" s="20"/>
      <c r="AC121" s="20"/>
      <c r="AD121" s="20"/>
    </row>
    <row r="122" spans="1:30" ht="15" customHeight="1">
      <c r="A122" s="27">
        <v>293</v>
      </c>
      <c r="B122" s="19" t="s">
        <v>70</v>
      </c>
      <c r="C122" s="13">
        <f t="shared" si="2"/>
        <v>2052610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>
        <v>1859</v>
      </c>
      <c r="Q122" s="13">
        <v>1293474</v>
      </c>
      <c r="R122" s="13"/>
      <c r="S122" s="13"/>
      <c r="T122" s="13"/>
      <c r="U122" s="13"/>
      <c r="V122" s="13"/>
      <c r="W122" s="13"/>
      <c r="X122" s="13"/>
      <c r="Y122" s="13"/>
      <c r="Z122" s="20"/>
      <c r="AA122" s="20"/>
      <c r="AB122" s="20"/>
      <c r="AC122" s="20">
        <v>759136</v>
      </c>
      <c r="AD122" s="20"/>
    </row>
    <row r="123" spans="1:30" ht="15" customHeight="1">
      <c r="A123" s="27">
        <v>294</v>
      </c>
      <c r="B123" s="19" t="s">
        <v>71</v>
      </c>
      <c r="C123" s="13">
        <f t="shared" si="2"/>
        <v>1477616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>
        <v>1900</v>
      </c>
      <c r="Q123" s="13">
        <v>1477616</v>
      </c>
      <c r="R123" s="13"/>
      <c r="S123" s="13"/>
      <c r="T123" s="13"/>
      <c r="U123" s="13"/>
      <c r="V123" s="13"/>
      <c r="W123" s="13"/>
      <c r="X123" s="13"/>
      <c r="Y123" s="13"/>
      <c r="Z123" s="20"/>
      <c r="AA123" s="20"/>
      <c r="AB123" s="20"/>
      <c r="AC123" s="20"/>
      <c r="AD123" s="20"/>
    </row>
    <row r="124" spans="1:31" ht="15" customHeight="1">
      <c r="A124" s="27">
        <v>295</v>
      </c>
      <c r="B124" s="12" t="str">
        <f>"г. Череповец, пр-кт. Луначарского, д. 6"</f>
        <v>г. Череповец, пр-кт. Луначарского, д. 6</v>
      </c>
      <c r="C124" s="13">
        <f>D124+E124+F124+G124+H124+I124+K124+M124+O124+Q124+S124+T124+U124+V124+W124+X124+Y124</f>
        <v>7672742.32</v>
      </c>
      <c r="D124" s="13"/>
      <c r="E124" s="13"/>
      <c r="F124" s="13"/>
      <c r="G124" s="13"/>
      <c r="H124" s="13"/>
      <c r="I124" s="13"/>
      <c r="J124" s="13">
        <v>4</v>
      </c>
      <c r="K124" s="13">
        <v>7672742.32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20"/>
      <c r="AA124" s="20"/>
      <c r="AB124" s="20"/>
      <c r="AC124" s="20"/>
      <c r="AD124" s="20"/>
      <c r="AE124" s="21"/>
    </row>
    <row r="125" spans="1:31" ht="15" customHeight="1">
      <c r="A125" s="27">
        <v>296</v>
      </c>
      <c r="B125" s="12" t="str">
        <f>"г. Череповец, пр-кт. Луначарского, д. 10"</f>
        <v>г. Череповец, пр-кт. Луначарского, д. 10</v>
      </c>
      <c r="C125" s="13">
        <f>D125+E125+F125+G125+H125+I125+K125+M125+O125+Q125+S125+T125+U125+V125+W125+X125+Y125</f>
        <v>7672742.32</v>
      </c>
      <c r="D125" s="13"/>
      <c r="E125" s="13"/>
      <c r="F125" s="13"/>
      <c r="G125" s="13"/>
      <c r="H125" s="13"/>
      <c r="I125" s="13"/>
      <c r="J125" s="13">
        <v>4</v>
      </c>
      <c r="K125" s="13">
        <v>7672742.32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20"/>
      <c r="AA125" s="20"/>
      <c r="AB125" s="20"/>
      <c r="AC125" s="20"/>
      <c r="AD125" s="20"/>
      <c r="AE125" s="21"/>
    </row>
    <row r="126" spans="1:30" ht="15" customHeight="1">
      <c r="A126" s="27">
        <v>297</v>
      </c>
      <c r="B126" s="12" t="str">
        <f>"г. Череповец, пр-кт. Луначарского, д. 20"</f>
        <v>г. Череповец, пр-кт. Луначарского, д. 20</v>
      </c>
      <c r="C126" s="13">
        <f t="shared" si="2"/>
        <v>2491647</v>
      </c>
      <c r="D126" s="13"/>
      <c r="E126" s="13"/>
      <c r="F126" s="13">
        <f>1796*147</f>
        <v>264012</v>
      </c>
      <c r="G126" s="13"/>
      <c r="H126" s="13"/>
      <c r="I126" s="13">
        <f>2845*783</f>
        <v>2227635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20"/>
      <c r="AA126" s="20"/>
      <c r="AB126" s="20"/>
      <c r="AC126" s="20"/>
      <c r="AD126" s="20"/>
    </row>
    <row r="127" spans="1:30" ht="15" customHeight="1">
      <c r="A127" s="27">
        <v>298</v>
      </c>
      <c r="B127" s="12" t="str">
        <f>"г. Череповец, пр-кт. Луначарского, д. 24"</f>
        <v>г. Череповец, пр-кт. Луначарского, д. 24</v>
      </c>
      <c r="C127" s="13">
        <f t="shared" si="2"/>
        <v>1425000</v>
      </c>
      <c r="D127" s="13"/>
      <c r="E127" s="13"/>
      <c r="F127" s="13"/>
      <c r="G127" s="13"/>
      <c r="H127" s="13"/>
      <c r="I127" s="13"/>
      <c r="J127" s="13"/>
      <c r="K127" s="13"/>
      <c r="L127" s="13">
        <v>570</v>
      </c>
      <c r="M127" s="13">
        <v>1425000</v>
      </c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20"/>
      <c r="AA127" s="20"/>
      <c r="AB127" s="20"/>
      <c r="AC127" s="20"/>
      <c r="AD127" s="20"/>
    </row>
    <row r="128" spans="1:30" ht="15" customHeight="1">
      <c r="A128" s="27">
        <v>299</v>
      </c>
      <c r="B128" s="12" t="str">
        <f>"г. Череповец, пр-кт. Луначарского, д. 30"</f>
        <v>г. Череповец, пр-кт. Луначарского, д. 30</v>
      </c>
      <c r="C128" s="13">
        <f t="shared" si="2"/>
        <v>2333550</v>
      </c>
      <c r="D128" s="13"/>
      <c r="E128" s="13"/>
      <c r="F128" s="13"/>
      <c r="G128" s="13">
        <f>334*1796</f>
        <v>599864</v>
      </c>
      <c r="H128" s="13">
        <f>394*2104</f>
        <v>828976</v>
      </c>
      <c r="I128" s="13">
        <f>318*2845</f>
        <v>904710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20"/>
      <c r="AA128" s="20"/>
      <c r="AB128" s="20"/>
      <c r="AC128" s="20"/>
      <c r="AD128" s="20"/>
    </row>
    <row r="129" spans="1:30" ht="15" customHeight="1">
      <c r="A129" s="27">
        <v>300</v>
      </c>
      <c r="B129" s="12" t="str">
        <f>"г. Череповец, пр-кт. Луначарского, д. 32"</f>
        <v>г. Череповец, пр-кт. Луначарского, д. 32</v>
      </c>
      <c r="C129" s="13">
        <f t="shared" si="2"/>
        <v>2778144</v>
      </c>
      <c r="D129" s="13">
        <f>4038*688</f>
        <v>2778144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20"/>
      <c r="AA129" s="20"/>
      <c r="AB129" s="20"/>
      <c r="AC129" s="20"/>
      <c r="AD129" s="20"/>
    </row>
    <row r="130" spans="1:30" ht="15" customHeight="1">
      <c r="A130" s="27">
        <v>301</v>
      </c>
      <c r="B130" s="12" t="str">
        <f>"г. Череповец, пр-кт. Луначарского, д. 32А"</f>
        <v>г. Череповец, пр-кт. Луначарского, д. 32А</v>
      </c>
      <c r="C130" s="13">
        <f t="shared" si="2"/>
        <v>1100000</v>
      </c>
      <c r="D130" s="13">
        <v>1100000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20"/>
      <c r="AA130" s="20"/>
      <c r="AB130" s="20"/>
      <c r="AC130" s="20"/>
      <c r="AD130" s="20"/>
    </row>
    <row r="131" spans="1:30" ht="15" customHeight="1">
      <c r="A131" s="27">
        <v>302</v>
      </c>
      <c r="B131" s="12" t="str">
        <f>"г. Череповец, пр-кт. Луначарского, д. 54"</f>
        <v>г. Череповец, пр-кт. Луначарского, д. 54</v>
      </c>
      <c r="C131" s="13">
        <f t="shared" si="2"/>
        <v>1645000</v>
      </c>
      <c r="D131" s="13"/>
      <c r="E131" s="13"/>
      <c r="F131" s="13"/>
      <c r="G131" s="13"/>
      <c r="H131" s="13"/>
      <c r="I131" s="13"/>
      <c r="J131" s="13"/>
      <c r="K131" s="13"/>
      <c r="L131" s="13">
        <v>658</v>
      </c>
      <c r="M131" s="13">
        <v>1645000</v>
      </c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20"/>
      <c r="AA131" s="20"/>
      <c r="AB131" s="20"/>
      <c r="AC131" s="20"/>
      <c r="AD131" s="20"/>
    </row>
    <row r="132" spans="1:30" ht="15" customHeight="1">
      <c r="A132" s="27">
        <v>303</v>
      </c>
      <c r="B132" s="12" t="str">
        <f>"г. Череповец, пр-кт. Октябрьский, д. 43"</f>
        <v>г. Череповец, пр-кт. Октябрьский, д. 43</v>
      </c>
      <c r="C132" s="13">
        <f t="shared" si="2"/>
        <v>2796000</v>
      </c>
      <c r="D132" s="13"/>
      <c r="E132" s="13"/>
      <c r="F132" s="13"/>
      <c r="G132" s="13"/>
      <c r="H132" s="13"/>
      <c r="I132" s="13"/>
      <c r="J132" s="13"/>
      <c r="K132" s="13"/>
      <c r="L132" s="13">
        <v>1398</v>
      </c>
      <c r="M132" s="13">
        <v>2796000</v>
      </c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20"/>
      <c r="AA132" s="20"/>
      <c r="AB132" s="20"/>
      <c r="AC132" s="20"/>
      <c r="AD132" s="20"/>
    </row>
    <row r="133" spans="1:30" ht="15" customHeight="1">
      <c r="A133" s="27">
        <v>304</v>
      </c>
      <c r="B133" s="12" t="str">
        <f>"г. Череповец, пр-кт. Октябрьский, д. 45"</f>
        <v>г. Череповец, пр-кт. Октябрьский, д. 45</v>
      </c>
      <c r="C133" s="13">
        <f t="shared" si="2"/>
        <v>3296000</v>
      </c>
      <c r="D133" s="13"/>
      <c r="E133" s="13"/>
      <c r="F133" s="13"/>
      <c r="G133" s="13"/>
      <c r="H133" s="13"/>
      <c r="I133" s="13"/>
      <c r="J133" s="13"/>
      <c r="K133" s="13"/>
      <c r="L133" s="13">
        <v>1648</v>
      </c>
      <c r="M133" s="13">
        <v>3296000</v>
      </c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20"/>
      <c r="AA133" s="20"/>
      <c r="AB133" s="20"/>
      <c r="AC133" s="20"/>
      <c r="AD133" s="20"/>
    </row>
    <row r="134" spans="1:30" ht="15" customHeight="1">
      <c r="A134" s="27">
        <v>305</v>
      </c>
      <c r="B134" s="12" t="str">
        <f>"г. Череповец, пр-кт. Октябрьский, д. 49"</f>
        <v>г. Череповец, пр-кт. Октябрьский, д. 49</v>
      </c>
      <c r="C134" s="13">
        <f t="shared" si="2"/>
        <v>540000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>
        <v>540000</v>
      </c>
      <c r="Y134" s="13"/>
      <c r="Z134" s="20"/>
      <c r="AA134" s="20"/>
      <c r="AB134" s="20"/>
      <c r="AC134" s="20"/>
      <c r="AD134" s="20"/>
    </row>
    <row r="135" spans="1:31" ht="15" customHeight="1">
      <c r="A135" s="27">
        <v>306</v>
      </c>
      <c r="B135" s="12" t="str">
        <f>"г. Череповец, пр-кт. Победы, д. 66"</f>
        <v>г. Череповец, пр-кт. Победы, д. 66</v>
      </c>
      <c r="C135" s="13">
        <f>D135+E135+F135+G135+H135+I135+K135+M135+O135+Q135+S135+T135+U135+V135+W135+X135+Y135</f>
        <v>7779607.84</v>
      </c>
      <c r="D135" s="13"/>
      <c r="E135" s="13"/>
      <c r="F135" s="13"/>
      <c r="G135" s="13"/>
      <c r="H135" s="13"/>
      <c r="I135" s="13"/>
      <c r="J135" s="13">
        <v>4</v>
      </c>
      <c r="K135" s="13">
        <v>7779607.84</v>
      </c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20"/>
      <c r="AA135" s="20"/>
      <c r="AB135" s="20"/>
      <c r="AC135" s="20"/>
      <c r="AD135" s="20"/>
      <c r="AE135" s="21"/>
    </row>
    <row r="136" spans="1:31" ht="15" customHeight="1">
      <c r="A136" s="27">
        <v>307</v>
      </c>
      <c r="B136" s="12" t="str">
        <f>"г. Череповец, пр-кт. Победы, д. 122"</f>
        <v>г. Череповец, пр-кт. Победы, д. 122</v>
      </c>
      <c r="C136" s="13">
        <f>D136+E136+F136+G136+H136+I136+K136+M136+O136+Q136+S136+T136+U136+V136+W136+X136+Y136+Z136+AA136+AB136+AC136+AD136</f>
        <v>13716060.06</v>
      </c>
      <c r="D136" s="13"/>
      <c r="E136" s="13"/>
      <c r="F136" s="13"/>
      <c r="G136" s="13"/>
      <c r="H136" s="13"/>
      <c r="I136" s="13"/>
      <c r="J136" s="13">
        <v>7</v>
      </c>
      <c r="K136" s="13">
        <v>13427299.06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>
        <f>1*288761</f>
        <v>288761</v>
      </c>
      <c r="V136" s="13"/>
      <c r="W136" s="13"/>
      <c r="X136" s="13"/>
      <c r="Y136" s="13"/>
      <c r="Z136" s="20"/>
      <c r="AA136" s="20"/>
      <c r="AB136" s="20"/>
      <c r="AC136" s="20"/>
      <c r="AD136" s="20"/>
      <c r="AE136" s="21"/>
    </row>
    <row r="137" spans="1:31" s="34" customFormat="1" ht="15" customHeight="1">
      <c r="A137" s="27">
        <v>308</v>
      </c>
      <c r="B137" s="12" t="str">
        <f>"г. Череповец, пр-кт. Победы, д. 127"</f>
        <v>г. Череповец, пр-кт. Победы, д. 127</v>
      </c>
      <c r="C137" s="13">
        <f>D137+E137+F137+G137+H137+I137+K137+M137+O137+Q137+S137+T137+U137+V137+W137+X137+Y137</f>
        <v>7779607.84</v>
      </c>
      <c r="D137" s="30"/>
      <c r="E137" s="30"/>
      <c r="F137" s="30"/>
      <c r="G137" s="30"/>
      <c r="H137" s="30"/>
      <c r="I137" s="30"/>
      <c r="J137" s="13">
        <v>4</v>
      </c>
      <c r="K137" s="13">
        <v>7779607.84</v>
      </c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1"/>
      <c r="AA137" s="31"/>
      <c r="AB137" s="31"/>
      <c r="AC137" s="31"/>
      <c r="AD137" s="31"/>
      <c r="AE137" s="33"/>
    </row>
    <row r="138" spans="1:31" s="34" customFormat="1" ht="15" customHeight="1">
      <c r="A138" s="27">
        <v>309</v>
      </c>
      <c r="B138" s="12" t="str">
        <f>"г. Череповец, пр-кт. Победы, д. 129"</f>
        <v>г. Череповец, пр-кт. Победы, д. 129</v>
      </c>
      <c r="C138" s="13">
        <f>D138+E138+F138+G138+H138+I138+K138+M138+O138+Q138+S138+T138+U138+V138+W138+X138+Y138</f>
        <v>7779607.84</v>
      </c>
      <c r="D138" s="30"/>
      <c r="E138" s="30"/>
      <c r="F138" s="30"/>
      <c r="G138" s="30"/>
      <c r="H138" s="30"/>
      <c r="I138" s="30"/>
      <c r="J138" s="13">
        <v>4</v>
      </c>
      <c r="K138" s="13">
        <v>7779607.84</v>
      </c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1"/>
      <c r="AA138" s="31"/>
      <c r="AB138" s="31"/>
      <c r="AC138" s="31"/>
      <c r="AD138" s="31"/>
      <c r="AE138" s="33"/>
    </row>
    <row r="139" spans="1:30" ht="15" customHeight="1">
      <c r="A139" s="27">
        <v>310</v>
      </c>
      <c r="B139" s="19" t="s">
        <v>72</v>
      </c>
      <c r="C139" s="13">
        <f>D139+E139+F139+G139+H139+I139+K139+M139+O139+Q139+S139+T139+U139+V139+W139+X139+Y139+Z139+AA139+AB139+AC139+AD139</f>
        <v>1404669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>
        <v>288761</v>
      </c>
      <c r="V139" s="13"/>
      <c r="W139" s="13"/>
      <c r="X139" s="13"/>
      <c r="Y139" s="13"/>
      <c r="Z139" s="20">
        <v>1115908</v>
      </c>
      <c r="AA139" s="20"/>
      <c r="AB139" s="20"/>
      <c r="AC139" s="20"/>
      <c r="AD139" s="20"/>
    </row>
    <row r="140" spans="1:30" ht="15" customHeight="1">
      <c r="A140" s="27">
        <v>311</v>
      </c>
      <c r="B140" s="12" t="str">
        <f>"г. Череповец, пр-кт. Победы, д. 143"</f>
        <v>г. Череповец, пр-кт. Победы, д. 143</v>
      </c>
      <c r="C140" s="13">
        <f>D140+E140+F140+G140+H140+I140+K140+M140+O140+Q140+S140++T140+U140+V140+W140+X140+Y140</f>
        <v>12000000</v>
      </c>
      <c r="D140" s="13"/>
      <c r="E140" s="13"/>
      <c r="F140" s="13"/>
      <c r="G140" s="13"/>
      <c r="H140" s="13"/>
      <c r="I140" s="13"/>
      <c r="J140" s="13">
        <v>4</v>
      </c>
      <c r="K140" s="13">
        <v>12000000</v>
      </c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20"/>
      <c r="AA140" s="20"/>
      <c r="AB140" s="20"/>
      <c r="AC140" s="20"/>
      <c r="AD140" s="20"/>
    </row>
    <row r="141" spans="1:30" ht="15" customHeight="1">
      <c r="A141" s="27">
        <v>312</v>
      </c>
      <c r="B141" s="12" t="str">
        <f>"г. Череповец, пр-кт. Победы, д. 148"</f>
        <v>г. Череповец, пр-кт. Победы, д. 148</v>
      </c>
      <c r="C141" s="13">
        <f t="shared" si="2"/>
        <v>2291600</v>
      </c>
      <c r="D141" s="13"/>
      <c r="E141" s="13"/>
      <c r="F141" s="13"/>
      <c r="G141" s="13"/>
      <c r="H141" s="13"/>
      <c r="I141" s="13"/>
      <c r="J141" s="13"/>
      <c r="K141" s="13"/>
      <c r="L141" s="13">
        <v>1145.8</v>
      </c>
      <c r="M141" s="13">
        <v>2291600</v>
      </c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20"/>
      <c r="AA141" s="20"/>
      <c r="AB141" s="20"/>
      <c r="AC141" s="20"/>
      <c r="AD141" s="20"/>
    </row>
    <row r="142" spans="1:30" ht="15" customHeight="1">
      <c r="A142" s="27">
        <v>313</v>
      </c>
      <c r="B142" s="12" t="str">
        <f>"г. Череповец, пр-кт. Победы, д. 151"</f>
        <v>г. Череповец, пр-кт. Победы, д. 151</v>
      </c>
      <c r="C142" s="13">
        <f t="shared" si="2"/>
        <v>5666360</v>
      </c>
      <c r="D142" s="13">
        <v>1430000</v>
      </c>
      <c r="E142" s="13"/>
      <c r="F142" s="13"/>
      <c r="G142" s="13">
        <f>1796*600</f>
        <v>1077600</v>
      </c>
      <c r="H142" s="13">
        <f>2104*690</f>
        <v>1451760</v>
      </c>
      <c r="I142" s="13">
        <f>2845*600</f>
        <v>1707000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20"/>
      <c r="AA142" s="20"/>
      <c r="AB142" s="20"/>
      <c r="AC142" s="20"/>
      <c r="AD142" s="20"/>
    </row>
    <row r="143" spans="1:30" ht="15" customHeight="1">
      <c r="A143" s="27">
        <v>314</v>
      </c>
      <c r="B143" s="12" t="str">
        <f>"г. Череповец, пр-кт. Победы, д. 155"</f>
        <v>г. Череповец, пр-кт. Победы, д. 155</v>
      </c>
      <c r="C143" s="13">
        <f t="shared" si="2"/>
        <v>2000000</v>
      </c>
      <c r="D143" s="13">
        <v>2000000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20"/>
      <c r="AA143" s="20"/>
      <c r="AB143" s="20"/>
      <c r="AC143" s="20"/>
      <c r="AD143" s="20"/>
    </row>
    <row r="144" spans="1:30" ht="15" customHeight="1">
      <c r="A144" s="27">
        <v>315</v>
      </c>
      <c r="B144" s="12" t="str">
        <f>"г. Череповец, пр-кт. Победы, д. 156"</f>
        <v>г. Череповец, пр-кт. Победы, д. 156</v>
      </c>
      <c r="C144" s="13">
        <f t="shared" si="2"/>
        <v>5343863</v>
      </c>
      <c r="D144" s="13"/>
      <c r="E144" s="13"/>
      <c r="F144" s="13"/>
      <c r="G144" s="13">
        <f>367*1796</f>
        <v>659132</v>
      </c>
      <c r="H144" s="13">
        <f>594*2104</f>
        <v>1249776</v>
      </c>
      <c r="I144" s="13">
        <f>439*2845</f>
        <v>1248955</v>
      </c>
      <c r="J144" s="13"/>
      <c r="K144" s="13"/>
      <c r="L144" s="13">
        <v>1093</v>
      </c>
      <c r="M144" s="13">
        <v>2186000</v>
      </c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20"/>
      <c r="AA144" s="20"/>
      <c r="AB144" s="20"/>
      <c r="AC144" s="20"/>
      <c r="AD144" s="20"/>
    </row>
    <row r="145" spans="1:30" ht="15" customHeight="1">
      <c r="A145" s="27">
        <v>316</v>
      </c>
      <c r="B145" s="12" t="str">
        <f>"г. Череповец, пр-кт. Победы, д. 161"</f>
        <v>г. Череповец, пр-кт. Победы, д. 161</v>
      </c>
      <c r="C145" s="13">
        <f t="shared" si="2"/>
        <v>270000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>
        <v>270000</v>
      </c>
      <c r="Y145" s="13"/>
      <c r="Z145" s="20"/>
      <c r="AA145" s="20"/>
      <c r="AB145" s="20"/>
      <c r="AC145" s="20"/>
      <c r="AD145" s="20"/>
    </row>
    <row r="146" spans="1:30" ht="15" customHeight="1">
      <c r="A146" s="27">
        <v>317</v>
      </c>
      <c r="B146" s="12" t="str">
        <f>"г. Череповец, пр-кт. Победы, д. 172"</f>
        <v>г. Череповец, пр-кт. Победы, д. 172</v>
      </c>
      <c r="C146" s="13">
        <f t="shared" si="2"/>
        <v>9159174.32</v>
      </c>
      <c r="D146" s="13"/>
      <c r="E146" s="13"/>
      <c r="F146" s="13"/>
      <c r="G146" s="13"/>
      <c r="H146" s="13"/>
      <c r="I146" s="13"/>
      <c r="J146" s="13">
        <v>4</v>
      </c>
      <c r="K146" s="13">
        <v>7672742.32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13">
        <v>727296</v>
      </c>
      <c r="V146" s="13"/>
      <c r="W146" s="13"/>
      <c r="X146" s="13">
        <v>759136</v>
      </c>
      <c r="Y146" s="13"/>
      <c r="Z146" s="20"/>
      <c r="AA146" s="20"/>
      <c r="AB146" s="20"/>
      <c r="AC146" s="20"/>
      <c r="AD146" s="20"/>
    </row>
    <row r="147" spans="1:31" s="34" customFormat="1" ht="15" customHeight="1">
      <c r="A147" s="27">
        <v>318</v>
      </c>
      <c r="B147" s="12" t="str">
        <f>"г. Череповец, пр-кт. Победы, д. 174"</f>
        <v>г. Череповец, пр-кт. Победы, д. 174</v>
      </c>
      <c r="C147" s="13">
        <f>D147+E147+F147+G147+H147+I147+K147+M147+O147+Q147+S147+T147+U147+V147+W147+X147+Y147</f>
        <v>9590927.9</v>
      </c>
      <c r="D147" s="30"/>
      <c r="E147" s="30"/>
      <c r="F147" s="30"/>
      <c r="G147" s="30"/>
      <c r="H147" s="30"/>
      <c r="I147" s="30"/>
      <c r="J147" s="13">
        <v>5</v>
      </c>
      <c r="K147" s="13">
        <v>9590927.9</v>
      </c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1"/>
      <c r="AA147" s="31"/>
      <c r="AB147" s="31"/>
      <c r="AC147" s="31"/>
      <c r="AD147" s="31"/>
      <c r="AE147" s="33"/>
    </row>
    <row r="148" spans="1:31" ht="15" customHeight="1">
      <c r="A148" s="27">
        <v>319</v>
      </c>
      <c r="B148" s="12" t="s">
        <v>39</v>
      </c>
      <c r="C148" s="13">
        <f t="shared" si="2"/>
        <v>4969534.7</v>
      </c>
      <c r="D148" s="13"/>
      <c r="E148" s="13"/>
      <c r="F148" s="13"/>
      <c r="G148" s="13"/>
      <c r="H148" s="13"/>
      <c r="I148" s="13"/>
      <c r="J148" s="13"/>
      <c r="K148" s="13"/>
      <c r="L148" s="13">
        <v>857</v>
      </c>
      <c r="M148" s="13">
        <v>4461024.3</v>
      </c>
      <c r="N148" s="13"/>
      <c r="O148" s="13"/>
      <c r="P148" s="13"/>
      <c r="Q148" s="13"/>
      <c r="R148" s="13"/>
      <c r="S148" s="13"/>
      <c r="T148" s="13"/>
      <c r="U148" s="13">
        <v>508510.4</v>
      </c>
      <c r="V148" s="13"/>
      <c r="W148" s="13"/>
      <c r="X148" s="13"/>
      <c r="Y148" s="13"/>
      <c r="Z148" s="20"/>
      <c r="AA148" s="20"/>
      <c r="AB148" s="20"/>
      <c r="AC148" s="20"/>
      <c r="AD148" s="20"/>
      <c r="AE148" s="21"/>
    </row>
    <row r="149" spans="1:30" ht="15" customHeight="1">
      <c r="A149" s="27">
        <v>320</v>
      </c>
      <c r="B149" s="12" t="str">
        <f>"г. Череповец, пр-кт. Победы, д. 182"</f>
        <v>г. Череповец, пр-кт. Победы, д. 182</v>
      </c>
      <c r="C149" s="13">
        <f t="shared" si="2"/>
        <v>10237323.879999999</v>
      </c>
      <c r="D149" s="13"/>
      <c r="E149" s="13"/>
      <c r="F149" s="13"/>
      <c r="G149" s="13">
        <f>402*1796</f>
        <v>721992</v>
      </c>
      <c r="H149" s="13">
        <f>696*2104</f>
        <v>1464384</v>
      </c>
      <c r="I149" s="13">
        <f>576*2845</f>
        <v>1638720</v>
      </c>
      <c r="J149" s="13">
        <v>3</v>
      </c>
      <c r="K149" s="13">
        <v>5834705.88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>
        <v>577522</v>
      </c>
      <c r="V149" s="13"/>
      <c r="W149" s="13"/>
      <c r="X149" s="13"/>
      <c r="Y149" s="13"/>
      <c r="Z149" s="20"/>
      <c r="AA149" s="20"/>
      <c r="AB149" s="20"/>
      <c r="AC149" s="20"/>
      <c r="AD149" s="20"/>
    </row>
    <row r="150" spans="1:31" ht="15" customHeight="1">
      <c r="A150" s="27">
        <v>321</v>
      </c>
      <c r="B150" s="12" t="str">
        <f>"г. Череповец, пр-кт. Победы, д. 186А"</f>
        <v>г. Череповец, пр-кт. Победы, д. 186А</v>
      </c>
      <c r="C150" s="13">
        <f>D150+E150+F150+G150+H150+I150+K150+M150+O150+Q150+S150+T150+U150+V150+W150+X150+Y150</f>
        <v>1944901.96</v>
      </c>
      <c r="D150" s="13"/>
      <c r="E150" s="13"/>
      <c r="F150" s="13"/>
      <c r="G150" s="13"/>
      <c r="H150" s="13"/>
      <c r="I150" s="13"/>
      <c r="J150" s="13">
        <v>1</v>
      </c>
      <c r="K150" s="13">
        <v>1944901.96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20"/>
      <c r="AA150" s="20"/>
      <c r="AB150" s="20"/>
      <c r="AC150" s="20"/>
      <c r="AD150" s="20"/>
      <c r="AE150" s="21"/>
    </row>
    <row r="151" spans="1:31" ht="15" customHeight="1">
      <c r="A151" s="27">
        <v>322</v>
      </c>
      <c r="B151" s="12" t="str">
        <f>"г. Череповец, пр-кт. Победы, д. 186Б"</f>
        <v>г. Череповец, пр-кт. Победы, д. 186Б</v>
      </c>
      <c r="C151" s="13">
        <f>D151+E151+F151+G151+H151+I151+K151+M151+O151+Q151+S151+T151+U151+V151+W151+X151+Y151</f>
        <v>1944901.96</v>
      </c>
      <c r="D151" s="13"/>
      <c r="E151" s="13"/>
      <c r="F151" s="13"/>
      <c r="G151" s="13"/>
      <c r="H151" s="13"/>
      <c r="I151" s="13"/>
      <c r="J151" s="13">
        <v>1</v>
      </c>
      <c r="K151" s="13">
        <v>1944901.96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0"/>
      <c r="AA151" s="20"/>
      <c r="AB151" s="20"/>
      <c r="AC151" s="20"/>
      <c r="AD151" s="20"/>
      <c r="AE151" s="21"/>
    </row>
    <row r="152" spans="1:30" ht="15" customHeight="1">
      <c r="A152" s="27">
        <v>323</v>
      </c>
      <c r="B152" s="12" t="str">
        <f>"г. Череповец, пр-кт. Победы, д. 190"</f>
        <v>г. Череповец, пр-кт. Победы, д. 190</v>
      </c>
      <c r="C152" s="13">
        <f t="shared" si="2"/>
        <v>5248000</v>
      </c>
      <c r="D152" s="13"/>
      <c r="E152" s="13"/>
      <c r="F152" s="13"/>
      <c r="G152" s="13"/>
      <c r="H152" s="13"/>
      <c r="I152" s="13"/>
      <c r="J152" s="13"/>
      <c r="K152" s="13"/>
      <c r="L152" s="13">
        <v>2624</v>
      </c>
      <c r="M152" s="13">
        <v>5248000</v>
      </c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20"/>
      <c r="AA152" s="20"/>
      <c r="AB152" s="20"/>
      <c r="AC152" s="20"/>
      <c r="AD152" s="20"/>
    </row>
    <row r="153" spans="1:30" ht="15" customHeight="1">
      <c r="A153" s="27">
        <v>324</v>
      </c>
      <c r="B153" s="19" t="s">
        <v>73</v>
      </c>
      <c r="C153" s="13">
        <f t="shared" si="2"/>
        <v>2486000</v>
      </c>
      <c r="D153" s="13"/>
      <c r="E153" s="13"/>
      <c r="F153" s="13"/>
      <c r="G153" s="13"/>
      <c r="H153" s="13"/>
      <c r="I153" s="13"/>
      <c r="J153" s="13"/>
      <c r="K153" s="13"/>
      <c r="L153" s="13">
        <v>994.4</v>
      </c>
      <c r="M153" s="13">
        <v>2486000</v>
      </c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20"/>
      <c r="AA153" s="20"/>
      <c r="AB153" s="20"/>
      <c r="AC153" s="20"/>
      <c r="AD153" s="20"/>
    </row>
    <row r="154" spans="1:30" ht="15" customHeight="1">
      <c r="A154" s="27">
        <v>325</v>
      </c>
      <c r="B154" s="12" t="str">
        <f>"г. Череповец, пр-кт. Победы, д. 37"</f>
        <v>г. Череповец, пр-кт. Победы, д. 37</v>
      </c>
      <c r="C154" s="13">
        <f t="shared" si="2"/>
        <v>2760000</v>
      </c>
      <c r="D154" s="13"/>
      <c r="E154" s="13"/>
      <c r="F154" s="13"/>
      <c r="G154" s="13"/>
      <c r="H154" s="13"/>
      <c r="I154" s="13"/>
      <c r="J154" s="13"/>
      <c r="K154" s="13"/>
      <c r="L154" s="13">
        <v>1104</v>
      </c>
      <c r="M154" s="13">
        <v>2760000</v>
      </c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20"/>
      <c r="AA154" s="20"/>
      <c r="AB154" s="20"/>
      <c r="AC154" s="20"/>
      <c r="AD154" s="20"/>
    </row>
    <row r="155" spans="1:30" ht="15" customHeight="1">
      <c r="A155" s="27">
        <v>326</v>
      </c>
      <c r="B155" s="12" t="str">
        <f>"г. Череповец, пр-кт. Победы, д. 48"</f>
        <v>г. Череповец, пр-кт. Победы, д. 48</v>
      </c>
      <c r="C155" s="13">
        <f t="shared" si="2"/>
        <v>320180</v>
      </c>
      <c r="D155" s="13"/>
      <c r="E155" s="13"/>
      <c r="F155" s="13"/>
      <c r="G155" s="13">
        <f>50*1796</f>
        <v>89800</v>
      </c>
      <c r="H155" s="13">
        <f>50*2104</f>
        <v>105200</v>
      </c>
      <c r="I155" s="13">
        <f>44*2845</f>
        <v>125180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20"/>
      <c r="AA155" s="20"/>
      <c r="AB155" s="20"/>
      <c r="AC155" s="20"/>
      <c r="AD155" s="20"/>
    </row>
    <row r="156" spans="1:30" ht="15" customHeight="1">
      <c r="A156" s="27">
        <v>327</v>
      </c>
      <c r="B156" s="12" t="str">
        <f>"г. Череповец, пр-кт. Победы, д. 65"</f>
        <v>г. Череповец, пр-кт. Победы, д. 65</v>
      </c>
      <c r="C156" s="13">
        <f t="shared" si="2"/>
        <v>1200000</v>
      </c>
      <c r="D156" s="13">
        <v>1200000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20"/>
      <c r="AA156" s="20"/>
      <c r="AB156" s="20"/>
      <c r="AC156" s="20"/>
      <c r="AD156" s="20"/>
    </row>
    <row r="157" spans="1:30" ht="15" customHeight="1">
      <c r="A157" s="27">
        <v>328</v>
      </c>
      <c r="B157" s="12" t="str">
        <f>"г. Череповец, пр-кт. Победы, д. 79"</f>
        <v>г. Череповец, пр-кт. Победы, д. 79</v>
      </c>
      <c r="C157" s="13">
        <f t="shared" si="2"/>
        <v>1200000</v>
      </c>
      <c r="D157" s="13">
        <v>1200000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20"/>
      <c r="AA157" s="20"/>
      <c r="AB157" s="20"/>
      <c r="AC157" s="20"/>
      <c r="AD157" s="20"/>
    </row>
    <row r="158" spans="1:30" ht="15" customHeight="1">
      <c r="A158" s="27">
        <v>329</v>
      </c>
      <c r="B158" s="12" t="str">
        <f>"г. Череповец, пр-кт. Победы, д. 81"</f>
        <v>г. Череповец, пр-кт. Победы, д. 81</v>
      </c>
      <c r="C158" s="13">
        <f t="shared" si="2"/>
        <v>6790800</v>
      </c>
      <c r="D158" s="13"/>
      <c r="E158" s="13"/>
      <c r="F158" s="13"/>
      <c r="G158" s="13">
        <f>960*1796</f>
        <v>1724160</v>
      </c>
      <c r="H158" s="13">
        <f>1110*2104</f>
        <v>2335440</v>
      </c>
      <c r="I158" s="13">
        <f>960*2845</f>
        <v>2731200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20"/>
      <c r="AA158" s="20"/>
      <c r="AB158" s="20"/>
      <c r="AC158" s="20"/>
      <c r="AD158" s="20"/>
    </row>
    <row r="159" spans="1:30" ht="15" customHeight="1">
      <c r="A159" s="27">
        <v>330</v>
      </c>
      <c r="B159" s="19" t="s">
        <v>74</v>
      </c>
      <c r="C159" s="13">
        <f t="shared" si="2"/>
        <v>4782244</v>
      </c>
      <c r="D159" s="13"/>
      <c r="E159" s="13">
        <v>1486464</v>
      </c>
      <c r="F159" s="13"/>
      <c r="G159" s="13">
        <v>754320</v>
      </c>
      <c r="H159" s="13">
        <v>1346560</v>
      </c>
      <c r="I159" s="13">
        <v>1194900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20"/>
      <c r="AA159" s="20"/>
      <c r="AB159" s="20"/>
      <c r="AC159" s="20"/>
      <c r="AD159" s="20"/>
    </row>
    <row r="160" spans="1:30" ht="15" customHeight="1">
      <c r="A160" s="27">
        <v>331</v>
      </c>
      <c r="B160" s="19" t="s">
        <v>75</v>
      </c>
      <c r="C160" s="13">
        <f t="shared" si="2"/>
        <v>1365000</v>
      </c>
      <c r="D160" s="13"/>
      <c r="E160" s="13"/>
      <c r="F160" s="13"/>
      <c r="G160" s="13">
        <v>628600</v>
      </c>
      <c r="H160" s="13">
        <v>736400</v>
      </c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20"/>
      <c r="AA160" s="20"/>
      <c r="AB160" s="20"/>
      <c r="AC160" s="20"/>
      <c r="AD160" s="20"/>
    </row>
    <row r="161" spans="1:31" ht="15" customHeight="1">
      <c r="A161" s="27">
        <v>332</v>
      </c>
      <c r="B161" s="12" t="str">
        <f>"г. Череповец, пр-кт. Советский, д. 61"</f>
        <v>г. Череповец, пр-кт. Советский, д. 61</v>
      </c>
      <c r="C161" s="13">
        <f>D161+E161+F161+G161+H161+I161+K161+M161+O161+Q161+S161+T161+U161+V161+W161+X161+Y161</f>
        <v>7672742.32</v>
      </c>
      <c r="D161" s="13"/>
      <c r="E161" s="13"/>
      <c r="F161" s="13"/>
      <c r="G161" s="13"/>
      <c r="H161" s="13"/>
      <c r="I161" s="13"/>
      <c r="J161" s="13">
        <v>4</v>
      </c>
      <c r="K161" s="13">
        <v>7672742.32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20"/>
      <c r="AA161" s="20"/>
      <c r="AB161" s="20"/>
      <c r="AC161" s="20"/>
      <c r="AD161" s="20"/>
      <c r="AE161" s="21"/>
    </row>
    <row r="162" spans="1:31" ht="15" customHeight="1">
      <c r="A162" s="27">
        <v>333</v>
      </c>
      <c r="B162" s="12" t="str">
        <f>"г. Череповец, пр-кт. Советский, д. 81"</f>
        <v>г. Череповец, пр-кт. Советский, д. 81</v>
      </c>
      <c r="C162" s="13">
        <f>D162+E162+F162+G162+H162+I162+K162+M162+O162+Q162+S162+T162+U162+V162+W162+X162+Y162</f>
        <v>10731875</v>
      </c>
      <c r="D162" s="13"/>
      <c r="E162" s="13"/>
      <c r="F162" s="13"/>
      <c r="G162" s="13"/>
      <c r="H162" s="13"/>
      <c r="I162" s="13"/>
      <c r="J162" s="13"/>
      <c r="K162" s="13"/>
      <c r="L162" s="13">
        <v>1375</v>
      </c>
      <c r="M162" s="13">
        <f>1375*7805</f>
        <v>10731875</v>
      </c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20"/>
      <c r="AA162" s="20"/>
      <c r="AB162" s="20"/>
      <c r="AC162" s="20"/>
      <c r="AD162" s="20"/>
      <c r="AE162" s="21"/>
    </row>
    <row r="163" spans="1:31" ht="15" customHeight="1">
      <c r="A163" s="27">
        <v>334</v>
      </c>
      <c r="B163" s="19" t="s">
        <v>76</v>
      </c>
      <c r="C163" s="13">
        <f>D163+E163+F163+G163+H163+I163+K163+M163+O163+Q163+S163+T163+U163+V163+W163+X163+Y163</f>
        <v>8872742.32</v>
      </c>
      <c r="D163" s="13">
        <v>1200000</v>
      </c>
      <c r="E163" s="13"/>
      <c r="F163" s="13"/>
      <c r="G163" s="13"/>
      <c r="H163" s="13"/>
      <c r="I163" s="13"/>
      <c r="J163" s="13">
        <v>4</v>
      </c>
      <c r="K163" s="13">
        <v>7672742.32</v>
      </c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20"/>
      <c r="AA163" s="20"/>
      <c r="AB163" s="20"/>
      <c r="AC163" s="20"/>
      <c r="AD163" s="20"/>
      <c r="AE163" s="21"/>
    </row>
    <row r="164" spans="1:31" ht="15" customHeight="1">
      <c r="A164" s="27">
        <v>335</v>
      </c>
      <c r="B164" s="12" t="str">
        <f>"г. Череповец, пр-кт. Советский, д. 110"</f>
        <v>г. Череповец, пр-кт. Советский, д. 110</v>
      </c>
      <c r="C164" s="13">
        <f>D164+E164+F164+G164+H164+I164+K164+M164+O164+Q164+S164+T164+U164+V164+W164+X164+Y164</f>
        <v>1776720</v>
      </c>
      <c r="D164" s="13">
        <f>440*4038</f>
        <v>1776720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20"/>
      <c r="AA164" s="20"/>
      <c r="AB164" s="20"/>
      <c r="AC164" s="20"/>
      <c r="AD164" s="20"/>
      <c r="AE164" s="21"/>
    </row>
    <row r="165" spans="1:31" ht="15" customHeight="1">
      <c r="A165" s="27">
        <v>336</v>
      </c>
      <c r="B165" s="12" t="str">
        <f>"г. Череповец, пр-кт. Советский, д. 116"</f>
        <v>г. Череповец, пр-кт. Советский, д. 116</v>
      </c>
      <c r="C165" s="13">
        <f>D165+E165+F165+G165+H165+I165+K165+M165+O165+Q165+S165+T165+U165+V165+W165+X165+Y165</f>
        <v>9492441</v>
      </c>
      <c r="D165" s="13"/>
      <c r="E165" s="13"/>
      <c r="F165" s="13"/>
      <c r="G165" s="13"/>
      <c r="H165" s="13"/>
      <c r="I165" s="13"/>
      <c r="J165" s="13"/>
      <c r="K165" s="13"/>
      <c r="L165" s="13">
        <v>1216.2</v>
      </c>
      <c r="M165" s="13">
        <f>7805*L165</f>
        <v>9492441</v>
      </c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20"/>
      <c r="AA165" s="20"/>
      <c r="AB165" s="20"/>
      <c r="AC165" s="20"/>
      <c r="AD165" s="20"/>
      <c r="AE165" s="21"/>
    </row>
    <row r="166" spans="1:30" ht="15" customHeight="1">
      <c r="A166" s="27">
        <v>337</v>
      </c>
      <c r="B166" s="12" t="str">
        <f>"г. Череповец, пр-кт. Строителей, д. 14"</f>
        <v>г. Череповец, пр-кт. Строителей, д. 14</v>
      </c>
      <c r="C166" s="13">
        <f t="shared" si="2"/>
        <v>418384</v>
      </c>
      <c r="D166" s="13"/>
      <c r="E166" s="13">
        <v>418384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20"/>
      <c r="AA166" s="20"/>
      <c r="AB166" s="20"/>
      <c r="AC166" s="20"/>
      <c r="AD166" s="20"/>
    </row>
    <row r="167" spans="1:30" ht="15" customHeight="1">
      <c r="A167" s="27">
        <v>338</v>
      </c>
      <c r="B167" s="12" t="str">
        <f>"г. Череповец, пр-кт. Строителей, д. 18"</f>
        <v>г. Череповец, пр-кт. Строителей, д. 18</v>
      </c>
      <c r="C167" s="13">
        <f t="shared" si="2"/>
        <v>3620388</v>
      </c>
      <c r="D167" s="13"/>
      <c r="E167" s="13">
        <v>1777184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>
        <v>727296</v>
      </c>
      <c r="V167" s="13"/>
      <c r="W167" s="13"/>
      <c r="X167" s="13"/>
      <c r="Y167" s="13"/>
      <c r="Z167" s="20">
        <v>1115908</v>
      </c>
      <c r="AA167" s="20"/>
      <c r="AB167" s="20"/>
      <c r="AC167" s="20"/>
      <c r="AD167" s="20"/>
    </row>
    <row r="168" spans="1:30" ht="15" customHeight="1">
      <c r="A168" s="27">
        <v>339</v>
      </c>
      <c r="B168" s="12" t="str">
        <f>"г. Череповец, пр-кт. Строителей, д. 43"</f>
        <v>г. Череповец, пр-кт. Строителей, д. 43</v>
      </c>
      <c r="C168" s="13">
        <f t="shared" si="2"/>
        <v>3918692</v>
      </c>
      <c r="D168" s="13"/>
      <c r="E168" s="13">
        <v>2075488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>
        <v>727296</v>
      </c>
      <c r="V168" s="13"/>
      <c r="W168" s="13"/>
      <c r="X168" s="13"/>
      <c r="Y168" s="13"/>
      <c r="Z168" s="20">
        <v>1115908</v>
      </c>
      <c r="AA168" s="20"/>
      <c r="AB168" s="20"/>
      <c r="AC168" s="20"/>
      <c r="AD168" s="20"/>
    </row>
    <row r="169" spans="1:30" ht="15" customHeight="1">
      <c r="A169" s="27">
        <v>340</v>
      </c>
      <c r="B169" s="12" t="str">
        <f>"г. Череповец, пр-кт. Шекснинский, д. 13"</f>
        <v>г. Череповец, пр-кт. Шекснинский, д. 13</v>
      </c>
      <c r="C169" s="13">
        <f t="shared" si="2"/>
        <v>3652280</v>
      </c>
      <c r="D169" s="13"/>
      <c r="E169" s="13"/>
      <c r="F169" s="13"/>
      <c r="G169" s="13">
        <f>1796*270</f>
        <v>484920</v>
      </c>
      <c r="H169" s="13">
        <f>2104*640</f>
        <v>1346560</v>
      </c>
      <c r="I169" s="13">
        <f>2845*640</f>
        <v>1820800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20"/>
      <c r="AA169" s="20"/>
      <c r="AB169" s="20"/>
      <c r="AC169" s="20"/>
      <c r="AD169" s="20"/>
    </row>
    <row r="170" spans="1:30" ht="15" customHeight="1">
      <c r="A170" s="27">
        <v>341</v>
      </c>
      <c r="B170" s="12" t="str">
        <f>"г. Череповец, проезд. Клубный, д. 4"</f>
        <v>г. Череповец, проезд. Клубный, д. 4</v>
      </c>
      <c r="C170" s="13">
        <f t="shared" si="2"/>
        <v>1122944</v>
      </c>
      <c r="D170" s="13"/>
      <c r="E170" s="13"/>
      <c r="F170" s="13">
        <v>1122944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20"/>
      <c r="AA170" s="20"/>
      <c r="AB170" s="20"/>
      <c r="AC170" s="20"/>
      <c r="AD170" s="20"/>
    </row>
    <row r="171" spans="1:30" ht="15" customHeight="1">
      <c r="A171" s="27">
        <v>342</v>
      </c>
      <c r="B171" s="12" t="str">
        <f>"г. Череповец, проезд. Клубный, д. 8"</f>
        <v>г. Череповец, проезд. Клубный, д. 8</v>
      </c>
      <c r="C171" s="13">
        <f t="shared" si="2"/>
        <v>1777184</v>
      </c>
      <c r="D171" s="13"/>
      <c r="E171" s="13">
        <v>1777184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20"/>
      <c r="AA171" s="20"/>
      <c r="AB171" s="20"/>
      <c r="AC171" s="20"/>
      <c r="AD171" s="20"/>
    </row>
    <row r="172" spans="1:31" ht="15" customHeight="1">
      <c r="A172" s="27">
        <v>343</v>
      </c>
      <c r="B172" s="12" t="str">
        <f>"г. Череповец, ул. Архангельская, д. 7"</f>
        <v>г. Череповец, ул. Архангельская, д. 7</v>
      </c>
      <c r="C172" s="13">
        <f>D172+E172+F172+G172+H172+I172+K172+M172+O172+Q172+S172+T172+U172+V172+W172+X172+Y172</f>
        <v>2366206.8</v>
      </c>
      <c r="D172" s="13"/>
      <c r="E172" s="13"/>
      <c r="F172" s="13"/>
      <c r="G172" s="13"/>
      <c r="H172" s="13"/>
      <c r="I172" s="13"/>
      <c r="J172" s="13">
        <v>1</v>
      </c>
      <c r="K172" s="13">
        <v>2366206.8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20"/>
      <c r="AA172" s="20"/>
      <c r="AB172" s="20"/>
      <c r="AC172" s="20"/>
      <c r="AD172" s="20"/>
      <c r="AE172" s="21"/>
    </row>
    <row r="173" spans="1:30" ht="15" customHeight="1">
      <c r="A173" s="27">
        <v>344</v>
      </c>
      <c r="B173" s="12" t="str">
        <f>"г. Череповец, ул. Архангельская, д. 7А"</f>
        <v>г. Череповец, ул. Архангельская, д. 7А</v>
      </c>
      <c r="C173" s="13">
        <f>D173+E173+F173+G173+H173+I173+K173+M173+O173+Q173+S173++T173+U173+V173+W173+X173+Y173</f>
        <v>3000000</v>
      </c>
      <c r="D173" s="13"/>
      <c r="E173" s="13"/>
      <c r="F173" s="13"/>
      <c r="G173" s="13"/>
      <c r="H173" s="13"/>
      <c r="I173" s="13"/>
      <c r="J173" s="13">
        <v>1</v>
      </c>
      <c r="K173" s="13">
        <v>3000000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20"/>
      <c r="AA173" s="20"/>
      <c r="AB173" s="20"/>
      <c r="AC173" s="20"/>
      <c r="AD173" s="20"/>
    </row>
    <row r="174" spans="1:30" ht="15" customHeight="1">
      <c r="A174" s="27">
        <v>345</v>
      </c>
      <c r="B174" s="12" t="str">
        <f>"г. Череповец, ул. Архангельская, д. 9"</f>
        <v>г. Череповец, ул. Архангельская, д. 9</v>
      </c>
      <c r="C174" s="13">
        <f>D174+E174+F174+G174+H174+I174+K174+M174+O174+Q174+S174++T174+U174+V174+W174+X174+Y174</f>
        <v>5562277.29</v>
      </c>
      <c r="D174" s="13"/>
      <c r="E174" s="13"/>
      <c r="F174" s="13"/>
      <c r="G174" s="13"/>
      <c r="H174" s="13"/>
      <c r="I174" s="13"/>
      <c r="J174" s="13">
        <v>1</v>
      </c>
      <c r="K174" s="13">
        <v>5562277.29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20"/>
      <c r="AA174" s="20"/>
      <c r="AB174" s="20"/>
      <c r="AC174" s="20"/>
      <c r="AD174" s="20"/>
    </row>
    <row r="175" spans="1:30" ht="15" customHeight="1">
      <c r="A175" s="27">
        <v>346</v>
      </c>
      <c r="B175" s="12" t="str">
        <f>"г. Череповец, ул. Архангельская, д. 9А"</f>
        <v>г. Череповец, ул. Архангельская, д. 9А</v>
      </c>
      <c r="C175" s="13">
        <f>D175+E175+F175+G175+H175+I175+K175+M175+O175+Q175+S175++T175+U175+V175+W175+X175+Y175</f>
        <v>10384025.55</v>
      </c>
      <c r="D175" s="13"/>
      <c r="E175" s="13"/>
      <c r="F175" s="13"/>
      <c r="G175" s="13"/>
      <c r="H175" s="13"/>
      <c r="I175" s="13"/>
      <c r="J175" s="13">
        <v>2</v>
      </c>
      <c r="K175" s="13">
        <v>10384025.55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20"/>
      <c r="AA175" s="20"/>
      <c r="AB175" s="20"/>
      <c r="AC175" s="20"/>
      <c r="AD175" s="20"/>
    </row>
    <row r="176" spans="1:30" ht="15" customHeight="1">
      <c r="A176" s="27">
        <v>347</v>
      </c>
      <c r="B176" s="12" t="str">
        <f>"г. Череповец, ул. Архангельская, д. 13А"</f>
        <v>г. Череповец, ул. Архангельская, д. 13А</v>
      </c>
      <c r="C176" s="13">
        <f t="shared" si="2"/>
        <v>14850150</v>
      </c>
      <c r="D176" s="13"/>
      <c r="E176" s="13"/>
      <c r="F176" s="13"/>
      <c r="G176" s="13">
        <f>1796*315</f>
        <v>565740</v>
      </c>
      <c r="H176" s="13">
        <f>2104*315</f>
        <v>662760</v>
      </c>
      <c r="I176" s="13">
        <f>2845*570</f>
        <v>1621650</v>
      </c>
      <c r="J176" s="13">
        <v>4</v>
      </c>
      <c r="K176" s="13">
        <v>12000000</v>
      </c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20"/>
      <c r="AA176" s="20"/>
      <c r="AB176" s="20"/>
      <c r="AC176" s="20"/>
      <c r="AD176" s="20"/>
    </row>
    <row r="177" spans="1:30" ht="15" customHeight="1">
      <c r="A177" s="27">
        <v>348</v>
      </c>
      <c r="B177" s="12" t="str">
        <f>"г. Череповец, ул. Архангельская, д. 15"</f>
        <v>г. Череповец, ул. Архангельская, д. 15</v>
      </c>
      <c r="C177" s="13">
        <f t="shared" si="2"/>
        <v>12183000</v>
      </c>
      <c r="D177" s="13"/>
      <c r="E177" s="13"/>
      <c r="F177" s="13"/>
      <c r="G177" s="13"/>
      <c r="H177" s="13"/>
      <c r="I177" s="13"/>
      <c r="J177" s="13">
        <v>2</v>
      </c>
      <c r="K177" s="13">
        <v>10683000</v>
      </c>
      <c r="L177" s="13">
        <v>600</v>
      </c>
      <c r="M177" s="13">
        <v>1500000</v>
      </c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20"/>
      <c r="AA177" s="20"/>
      <c r="AB177" s="20"/>
      <c r="AC177" s="20"/>
      <c r="AD177" s="20"/>
    </row>
    <row r="178" spans="1:30" ht="15" customHeight="1">
      <c r="A178" s="27">
        <v>349</v>
      </c>
      <c r="B178" s="12" t="str">
        <f>"г. Череповец, ул. Архангельская, д. 17Б"</f>
        <v>г. Череповец, ул. Архангельская, д. 17Б</v>
      </c>
      <c r="C178" s="13">
        <f>D178+E178+F178+G178+H178+I178+K178+M178+O178+Q178+S178++T178+U178+V178+W178+X178+Y178</f>
        <v>15000000</v>
      </c>
      <c r="D178" s="13"/>
      <c r="E178" s="13"/>
      <c r="F178" s="13"/>
      <c r="G178" s="13"/>
      <c r="H178" s="13"/>
      <c r="I178" s="13"/>
      <c r="J178" s="13">
        <v>5</v>
      </c>
      <c r="K178" s="13">
        <v>15000000</v>
      </c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20"/>
      <c r="AA178" s="20"/>
      <c r="AB178" s="20"/>
      <c r="AC178" s="20"/>
      <c r="AD178" s="20"/>
    </row>
    <row r="179" spans="1:31" ht="15" customHeight="1">
      <c r="A179" s="27">
        <v>350</v>
      </c>
      <c r="B179" s="12" t="s">
        <v>77</v>
      </c>
      <c r="C179" s="13">
        <f>D179+E179+F179+G179+H179+I179+K179+M179+O179+Q179+S179+T179+U179+V179+W179+X179+Y179</f>
        <v>6755262.25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>
        <v>6755262.25</v>
      </c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20"/>
      <c r="AA179" s="20"/>
      <c r="AB179" s="20"/>
      <c r="AC179" s="20"/>
      <c r="AD179" s="20"/>
      <c r="AE179" s="21"/>
    </row>
    <row r="180" spans="1:31" s="34" customFormat="1" ht="15" customHeight="1">
      <c r="A180" s="27">
        <v>351</v>
      </c>
      <c r="B180" s="12" t="str">
        <f>"г. Череповец, ул. Архангельская, д. 68"</f>
        <v>г. Череповец, ул. Архангельская, д. 68</v>
      </c>
      <c r="C180" s="13">
        <f>D180+E180+F180+G180+H180+I180+K180+M180+O180+Q180+S180+T180+U180+V180+W180+X180+Y180</f>
        <v>11669411.76</v>
      </c>
      <c r="D180" s="30"/>
      <c r="E180" s="30"/>
      <c r="F180" s="30"/>
      <c r="G180" s="30"/>
      <c r="H180" s="30"/>
      <c r="I180" s="30"/>
      <c r="J180" s="13">
        <v>6</v>
      </c>
      <c r="K180" s="13">
        <v>11669411.76</v>
      </c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1"/>
      <c r="AA180" s="31"/>
      <c r="AB180" s="31"/>
      <c r="AC180" s="31"/>
      <c r="AD180" s="31"/>
      <c r="AE180" s="33"/>
    </row>
    <row r="181" spans="1:31" ht="15" customHeight="1">
      <c r="A181" s="27">
        <v>352</v>
      </c>
      <c r="B181" s="12" t="str">
        <f>"г. Череповец, ул. Архангельская, д. 100"</f>
        <v>г. Череповец, ул. Архангельская, д. 100</v>
      </c>
      <c r="C181" s="13">
        <f>D181+E181+F181+G181+H181+I181+K181+M181+O181+Q181+S181+T181+U181+V181+W181+X181+Y181</f>
        <v>13614313.72</v>
      </c>
      <c r="D181" s="13"/>
      <c r="E181" s="13"/>
      <c r="F181" s="13"/>
      <c r="G181" s="13"/>
      <c r="H181" s="13"/>
      <c r="I181" s="13"/>
      <c r="J181" s="13">
        <v>7</v>
      </c>
      <c r="K181" s="13">
        <v>13614313.72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20"/>
      <c r="AA181" s="20"/>
      <c r="AB181" s="20"/>
      <c r="AC181" s="20"/>
      <c r="AD181" s="20"/>
      <c r="AE181" s="21"/>
    </row>
    <row r="182" spans="1:30" ht="15" customHeight="1">
      <c r="A182" s="27">
        <v>353</v>
      </c>
      <c r="B182" s="12" t="str">
        <f>"г. Череповец, ул. Архангельская, д. 100Б"</f>
        <v>г. Череповец, ул. Архангельская, д. 100Б</v>
      </c>
      <c r="C182" s="13">
        <f>D182+E182+F182+G182+H182+I182+K182+M182+O182+Q182+S182++T182+U182+V182+W182+X182+Y182</f>
        <v>9000000</v>
      </c>
      <c r="D182" s="13"/>
      <c r="E182" s="13"/>
      <c r="F182" s="13"/>
      <c r="G182" s="13"/>
      <c r="H182" s="13"/>
      <c r="I182" s="13"/>
      <c r="J182" s="13">
        <v>3</v>
      </c>
      <c r="K182" s="13">
        <v>9000000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20"/>
      <c r="AA182" s="20"/>
      <c r="AB182" s="20"/>
      <c r="AC182" s="20"/>
      <c r="AD182" s="20"/>
    </row>
    <row r="183" spans="1:30" ht="15" customHeight="1">
      <c r="A183" s="27">
        <v>354</v>
      </c>
      <c r="B183" s="12" t="str">
        <f>"г. Череповец, ул. Бабушкина, д. 12"</f>
        <v>г. Череповец, ул. Бабушкина, д. 12</v>
      </c>
      <c r="C183" s="13">
        <f t="shared" si="2"/>
        <v>1451224</v>
      </c>
      <c r="D183" s="13"/>
      <c r="E183" s="13"/>
      <c r="F183" s="13">
        <v>1451224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20"/>
      <c r="AA183" s="20"/>
      <c r="AB183" s="20"/>
      <c r="AC183" s="20"/>
      <c r="AD183" s="20"/>
    </row>
    <row r="184" spans="1:30" ht="15" customHeight="1">
      <c r="A184" s="27">
        <v>355</v>
      </c>
      <c r="B184" s="12" t="str">
        <f>"г. Череповец, ул. Бабушкина, д. 4"</f>
        <v>г. Череповец, ул. Бабушкина, д. 4</v>
      </c>
      <c r="C184" s="13">
        <f t="shared" si="2"/>
        <v>1568952</v>
      </c>
      <c r="D184" s="13"/>
      <c r="E184" s="13"/>
      <c r="F184" s="13">
        <v>1568952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20"/>
      <c r="AA184" s="20"/>
      <c r="AB184" s="20"/>
      <c r="AC184" s="20"/>
      <c r="AD184" s="20"/>
    </row>
    <row r="185" spans="1:30" ht="15" customHeight="1">
      <c r="A185" s="27">
        <v>356</v>
      </c>
      <c r="B185" s="12" t="str">
        <f>"г. Череповец, ул. Бабушкина, д. 6"</f>
        <v>г. Череповец, ул. Бабушкина, д. 6</v>
      </c>
      <c r="C185" s="13">
        <f t="shared" si="2"/>
        <v>851264</v>
      </c>
      <c r="D185" s="13"/>
      <c r="E185" s="13"/>
      <c r="F185" s="13">
        <v>851264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20"/>
      <c r="AA185" s="20"/>
      <c r="AB185" s="20"/>
      <c r="AC185" s="20"/>
      <c r="AD185" s="20"/>
    </row>
    <row r="186" spans="1:30" ht="15" customHeight="1">
      <c r="A186" s="27">
        <v>357</v>
      </c>
      <c r="B186" s="12" t="str">
        <f>"г. Череповец, ул. Бардина, д. 13А"</f>
        <v>г. Череповец, ул. Бардина, д. 13А</v>
      </c>
      <c r="C186" s="13">
        <f t="shared" si="2"/>
        <v>450536</v>
      </c>
      <c r="D186" s="13"/>
      <c r="E186" s="13"/>
      <c r="F186" s="13">
        <v>450536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20"/>
      <c r="AA186" s="20"/>
      <c r="AB186" s="20"/>
      <c r="AC186" s="20"/>
      <c r="AD186" s="20"/>
    </row>
    <row r="187" spans="1:30" ht="15" customHeight="1">
      <c r="A187" s="27">
        <v>358</v>
      </c>
      <c r="B187" s="12" t="str">
        <f>"г. Череповец, ул. Бардина, д. 15"</f>
        <v>г. Череповец, ул. Бардина, д. 15</v>
      </c>
      <c r="C187" s="13">
        <f t="shared" si="2"/>
        <v>801456</v>
      </c>
      <c r="D187" s="13"/>
      <c r="E187" s="13"/>
      <c r="F187" s="13">
        <v>801456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20"/>
      <c r="AA187" s="20"/>
      <c r="AB187" s="20"/>
      <c r="AC187" s="20"/>
      <c r="AD187" s="20"/>
    </row>
    <row r="188" spans="1:30" ht="15" customHeight="1">
      <c r="A188" s="27">
        <v>359</v>
      </c>
      <c r="B188" s="12" t="str">
        <f>"г. Череповец, ул. Бардина, д. 16"</f>
        <v>г. Череповец, ул. Бардина, д. 16</v>
      </c>
      <c r="C188" s="13">
        <f t="shared" si="2"/>
        <v>2348804</v>
      </c>
      <c r="D188" s="13"/>
      <c r="E188" s="13">
        <v>505600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>
        <v>727296</v>
      </c>
      <c r="V188" s="13"/>
      <c r="W188" s="13"/>
      <c r="X188" s="13"/>
      <c r="Y188" s="13"/>
      <c r="Z188" s="20">
        <v>1115908</v>
      </c>
      <c r="AA188" s="20"/>
      <c r="AB188" s="20"/>
      <c r="AC188" s="20"/>
      <c r="AD188" s="20"/>
    </row>
    <row r="189" spans="1:30" ht="15" customHeight="1">
      <c r="A189" s="27">
        <v>360</v>
      </c>
      <c r="B189" s="12" t="str">
        <f>"г. Череповец, ул. Бардина, д. 17"</f>
        <v>г. Череповец, ул. Бардина, д. 17</v>
      </c>
      <c r="C189" s="13">
        <f t="shared" si="2"/>
        <v>2806372</v>
      </c>
      <c r="D189" s="13"/>
      <c r="E189" s="13">
        <v>963168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>
        <v>727296</v>
      </c>
      <c r="V189" s="13"/>
      <c r="W189" s="13"/>
      <c r="X189" s="13"/>
      <c r="Y189" s="13"/>
      <c r="Z189" s="20">
        <v>1115908</v>
      </c>
      <c r="AA189" s="20"/>
      <c r="AB189" s="20"/>
      <c r="AC189" s="20"/>
      <c r="AD189" s="20"/>
    </row>
    <row r="190" spans="1:30" ht="15" customHeight="1">
      <c r="A190" s="27">
        <v>361</v>
      </c>
      <c r="B190" s="12" t="str">
        <f>"г. Череповец, ул. Бардина, д. 18"</f>
        <v>г. Череповец, ул. Бардина, д. 18</v>
      </c>
      <c r="C190" s="13">
        <f t="shared" si="2"/>
        <v>2656029</v>
      </c>
      <c r="D190" s="13"/>
      <c r="E190" s="13">
        <v>1251360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>
        <v>288761</v>
      </c>
      <c r="V190" s="13"/>
      <c r="W190" s="13"/>
      <c r="X190" s="13"/>
      <c r="Y190" s="13"/>
      <c r="Z190" s="20">
        <v>1115908</v>
      </c>
      <c r="AA190" s="20"/>
      <c r="AB190" s="20"/>
      <c r="AC190" s="20"/>
      <c r="AD190" s="20"/>
    </row>
    <row r="191" spans="1:30" ht="15" customHeight="1">
      <c r="A191" s="27">
        <v>362</v>
      </c>
      <c r="B191" s="12" t="str">
        <f>"г. Череповец, ул. Бардина, д. 19"</f>
        <v>г. Череповец, ул. Бардина, д. 19</v>
      </c>
      <c r="C191" s="13">
        <f t="shared" si="2"/>
        <v>2995972</v>
      </c>
      <c r="D191" s="13"/>
      <c r="E191" s="13">
        <v>1152768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>
        <v>727296</v>
      </c>
      <c r="V191" s="13"/>
      <c r="W191" s="13"/>
      <c r="X191" s="13"/>
      <c r="Y191" s="13"/>
      <c r="Z191" s="20">
        <v>1115908</v>
      </c>
      <c r="AA191" s="20"/>
      <c r="AB191" s="20"/>
      <c r="AC191" s="20"/>
      <c r="AD191" s="20"/>
    </row>
    <row r="192" spans="1:30" ht="15" customHeight="1">
      <c r="A192" s="27">
        <v>363</v>
      </c>
      <c r="B192" s="12" t="str">
        <f>"г. Череповец, ул. Бардина, д. 20"</f>
        <v>г. Череповец, ул. Бардина, д. 20</v>
      </c>
      <c r="C192" s="13">
        <f t="shared" si="2"/>
        <v>3094564</v>
      </c>
      <c r="D192" s="13"/>
      <c r="E192" s="13">
        <v>1251360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>
        <v>727296</v>
      </c>
      <c r="V192" s="13"/>
      <c r="W192" s="13"/>
      <c r="X192" s="13"/>
      <c r="Y192" s="13"/>
      <c r="Z192" s="20">
        <v>1115908</v>
      </c>
      <c r="AA192" s="20"/>
      <c r="AB192" s="20"/>
      <c r="AC192" s="20"/>
      <c r="AD192" s="20"/>
    </row>
    <row r="193" spans="1:30" ht="15" customHeight="1">
      <c r="A193" s="27">
        <v>364</v>
      </c>
      <c r="B193" s="12" t="str">
        <f>"г. Череповец, ул. Бардина, д. 4"</f>
        <v>г. Череповец, ул. Бардина, д. 4</v>
      </c>
      <c r="C193" s="13">
        <f t="shared" si="2"/>
        <v>1005376</v>
      </c>
      <c r="D193" s="13"/>
      <c r="E193" s="13">
        <v>278080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>
        <v>727296</v>
      </c>
      <c r="V193" s="13"/>
      <c r="W193" s="13"/>
      <c r="X193" s="13"/>
      <c r="Y193" s="13"/>
      <c r="Z193" s="20"/>
      <c r="AA193" s="20"/>
      <c r="AB193" s="20"/>
      <c r="AC193" s="20"/>
      <c r="AD193" s="20"/>
    </row>
    <row r="194" spans="1:30" ht="15" customHeight="1">
      <c r="A194" s="27">
        <v>365</v>
      </c>
      <c r="B194" s="12" t="str">
        <f>"г. Череповец, ул. Бардина, д. 7"</f>
        <v>г. Череповец, ул. Бардина, д. 7</v>
      </c>
      <c r="C194" s="13">
        <f t="shared" si="2"/>
        <v>903336</v>
      </c>
      <c r="D194" s="13"/>
      <c r="E194" s="13"/>
      <c r="F194" s="13">
        <v>903336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20"/>
      <c r="AA194" s="20"/>
      <c r="AB194" s="20"/>
      <c r="AC194" s="20"/>
      <c r="AD194" s="20"/>
    </row>
    <row r="195" spans="1:30" ht="15" customHeight="1">
      <c r="A195" s="27">
        <v>366</v>
      </c>
      <c r="B195" s="12" t="str">
        <f>"г. Череповец, ул. Бардина, д. 8"</f>
        <v>г. Череповец, ул. Бардина, д. 8</v>
      </c>
      <c r="C195" s="13">
        <f t="shared" si="2"/>
        <v>2405684</v>
      </c>
      <c r="D195" s="13"/>
      <c r="E195" s="13">
        <v>562480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>
        <v>727296</v>
      </c>
      <c r="V195" s="13"/>
      <c r="W195" s="13"/>
      <c r="X195" s="13"/>
      <c r="Y195" s="13"/>
      <c r="Z195" s="20">
        <v>1115908</v>
      </c>
      <c r="AA195" s="20"/>
      <c r="AB195" s="20"/>
      <c r="AC195" s="20"/>
      <c r="AD195" s="20"/>
    </row>
    <row r="196" spans="1:30" ht="15" customHeight="1">
      <c r="A196" s="27">
        <v>367</v>
      </c>
      <c r="B196" s="12" t="str">
        <f>"г. Череповец, ул. Верещагина, д. 40"</f>
        <v>г. Череповец, ул. Верещагина, д. 40</v>
      </c>
      <c r="C196" s="13">
        <f t="shared" si="2"/>
        <v>1207616</v>
      </c>
      <c r="D196" s="13"/>
      <c r="E196" s="13">
        <v>480320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>
        <v>727296</v>
      </c>
      <c r="V196" s="13"/>
      <c r="W196" s="13"/>
      <c r="X196" s="13"/>
      <c r="Y196" s="13"/>
      <c r="Z196" s="20"/>
      <c r="AA196" s="20"/>
      <c r="AB196" s="20"/>
      <c r="AC196" s="20"/>
      <c r="AD196" s="20"/>
    </row>
    <row r="197" spans="1:30" ht="15" customHeight="1">
      <c r="A197" s="27">
        <v>368</v>
      </c>
      <c r="B197" s="19" t="s">
        <v>78</v>
      </c>
      <c r="C197" s="13">
        <f>D197+E197+F197+G197+H197+I197+K197+M197+O197+Q197+S197+T197+U197+V197+W197+X197+Y197+Z197+AA197+AB197+AC197+AD197</f>
        <v>1843204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>
        <v>727296</v>
      </c>
      <c r="V197" s="13"/>
      <c r="W197" s="13"/>
      <c r="X197" s="13"/>
      <c r="Y197" s="13"/>
      <c r="Z197" s="20">
        <v>1115908</v>
      </c>
      <c r="AA197" s="20"/>
      <c r="AB197" s="20"/>
      <c r="AC197" s="20"/>
      <c r="AD197" s="20"/>
    </row>
    <row r="198" spans="1:30" ht="15" customHeight="1">
      <c r="A198" s="27">
        <v>369</v>
      </c>
      <c r="B198" s="12" t="str">
        <f>"г. Череповец, ул. Верещагина, д. 55"</f>
        <v>г. Череповец, ул. Верещагина, д. 55</v>
      </c>
      <c r="C198" s="13">
        <f t="shared" si="2"/>
        <v>2917604</v>
      </c>
      <c r="D198" s="13"/>
      <c r="E198" s="13">
        <v>1074400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>
        <v>727296</v>
      </c>
      <c r="V198" s="13"/>
      <c r="W198" s="13"/>
      <c r="X198" s="13"/>
      <c r="Y198" s="13"/>
      <c r="Z198" s="20">
        <v>1115908</v>
      </c>
      <c r="AA198" s="20"/>
      <c r="AB198" s="20"/>
      <c r="AC198" s="20"/>
      <c r="AD198" s="20"/>
    </row>
    <row r="199" spans="1:30" ht="15" customHeight="1">
      <c r="A199" s="27">
        <v>370</v>
      </c>
      <c r="B199" s="12" t="str">
        <f>"г. Череповец, ул. Весенняя, д. 1А"</f>
        <v>г. Череповец, ул. Весенняя, д. 1А</v>
      </c>
      <c r="C199" s="13">
        <f t="shared" si="2"/>
        <v>941824</v>
      </c>
      <c r="D199" s="13"/>
      <c r="E199" s="13"/>
      <c r="F199" s="13">
        <v>941824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20"/>
      <c r="AA199" s="20"/>
      <c r="AB199" s="20"/>
      <c r="AC199" s="20"/>
      <c r="AD199" s="20"/>
    </row>
    <row r="200" spans="1:30" ht="15" customHeight="1">
      <c r="A200" s="27">
        <v>371</v>
      </c>
      <c r="B200" s="12" t="str">
        <f>"г. Череповец, ул. Весенняя, д. 3"</f>
        <v>г. Череповец, ул. Весенняя, д. 3</v>
      </c>
      <c r="C200" s="13">
        <f t="shared" si="2"/>
        <v>930504</v>
      </c>
      <c r="D200" s="13"/>
      <c r="E200" s="13"/>
      <c r="F200" s="13">
        <v>930504</v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20"/>
      <c r="AA200" s="20"/>
      <c r="AB200" s="20"/>
      <c r="AC200" s="20"/>
      <c r="AD200" s="20"/>
    </row>
    <row r="201" spans="1:30" ht="15" customHeight="1">
      <c r="A201" s="27">
        <v>372</v>
      </c>
      <c r="B201" s="19" t="s">
        <v>79</v>
      </c>
      <c r="C201" s="13">
        <f aca="true" t="shared" si="3" ref="C201:C239">D201+E201+F201+G201+H201+I201+K201+M201+O201+Q201+S201+T201+U201+V201+W201+X201+Y201+Z201+AA201+AB201+AC201+AD201</f>
        <v>4557500</v>
      </c>
      <c r="D201" s="13"/>
      <c r="E201" s="13"/>
      <c r="F201" s="13"/>
      <c r="G201" s="13"/>
      <c r="H201" s="13"/>
      <c r="I201" s="13"/>
      <c r="J201" s="13"/>
      <c r="K201" s="13"/>
      <c r="L201" s="13">
        <v>1823</v>
      </c>
      <c r="M201" s="13">
        <v>4557500</v>
      </c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20"/>
      <c r="AA201" s="20"/>
      <c r="AB201" s="20"/>
      <c r="AC201" s="20"/>
      <c r="AD201" s="20"/>
    </row>
    <row r="202" spans="1:30" ht="15" customHeight="1">
      <c r="A202" s="27">
        <v>373</v>
      </c>
      <c r="B202" s="12" t="str">
        <f>"г. Череповец, ул. Вологодская, д. 4"</f>
        <v>г. Череповец, ул. Вологодская, д. 4</v>
      </c>
      <c r="C202" s="13">
        <f t="shared" si="3"/>
        <v>384000</v>
      </c>
      <c r="D202" s="13">
        <v>384000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20"/>
      <c r="AA202" s="20"/>
      <c r="AB202" s="20"/>
      <c r="AC202" s="20"/>
      <c r="AD202" s="20"/>
    </row>
    <row r="203" spans="1:30" ht="15" customHeight="1">
      <c r="A203" s="27">
        <v>374</v>
      </c>
      <c r="B203" s="19" t="s">
        <v>80</v>
      </c>
      <c r="C203" s="13">
        <f>D203+E203+F203+G203+H203+I203+K203+M203+O203+Q203+S203+T203+U203+V203+W203+X203+Y203+Z203+AA203+AB203+AC203+AD203</f>
        <v>1843204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>
        <v>727296</v>
      </c>
      <c r="V203" s="13"/>
      <c r="W203" s="13"/>
      <c r="X203" s="13"/>
      <c r="Y203" s="13"/>
      <c r="Z203" s="20">
        <v>1115908</v>
      </c>
      <c r="AA203" s="20"/>
      <c r="AB203" s="20"/>
      <c r="AC203" s="20"/>
      <c r="AD203" s="20"/>
    </row>
    <row r="204" spans="1:30" ht="15" customHeight="1">
      <c r="A204" s="27">
        <v>375</v>
      </c>
      <c r="B204" s="12" t="str">
        <f>"г. Череповец, ул. Гагарина, д. 18"</f>
        <v>г. Череповец, ул. Гагарина, д. 18</v>
      </c>
      <c r="C204" s="13">
        <f t="shared" si="3"/>
        <v>3983454</v>
      </c>
      <c r="D204" s="13"/>
      <c r="E204" s="13"/>
      <c r="F204" s="13"/>
      <c r="G204" s="13"/>
      <c r="H204" s="13"/>
      <c r="I204" s="13"/>
      <c r="J204" s="13"/>
      <c r="K204" s="13"/>
      <c r="L204" s="13">
        <v>856.1</v>
      </c>
      <c r="M204" s="13">
        <v>2140250</v>
      </c>
      <c r="N204" s="13"/>
      <c r="O204" s="13"/>
      <c r="P204" s="13"/>
      <c r="Q204" s="13"/>
      <c r="R204" s="13"/>
      <c r="S204" s="13"/>
      <c r="T204" s="13"/>
      <c r="U204" s="13">
        <v>727296</v>
      </c>
      <c r="V204" s="13"/>
      <c r="W204" s="13"/>
      <c r="X204" s="13"/>
      <c r="Y204" s="13"/>
      <c r="Z204" s="20">
        <v>1115908</v>
      </c>
      <c r="AA204" s="20"/>
      <c r="AB204" s="20"/>
      <c r="AC204" s="20"/>
      <c r="AD204" s="20"/>
    </row>
    <row r="205" spans="1:31" ht="15" customHeight="1">
      <c r="A205" s="27">
        <v>376</v>
      </c>
      <c r="B205" s="12" t="str">
        <f>"г. Череповец, ул. Гоголя, д. 22"</f>
        <v>г. Череповец, ул. Гоголя, д. 22</v>
      </c>
      <c r="C205" s="13">
        <f>D205+E205+F205+G205+H205+I205+K205+M205+O205+Q205+S205+T205+U205+V205+W205+X205+Y205</f>
        <v>7672742.32</v>
      </c>
      <c r="D205" s="13"/>
      <c r="E205" s="13"/>
      <c r="F205" s="13"/>
      <c r="G205" s="13"/>
      <c r="H205" s="13"/>
      <c r="I205" s="13"/>
      <c r="J205" s="13">
        <v>4</v>
      </c>
      <c r="K205" s="13">
        <v>7672742.32</v>
      </c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20"/>
      <c r="AA205" s="20"/>
      <c r="AB205" s="20"/>
      <c r="AC205" s="20"/>
      <c r="AD205" s="20"/>
      <c r="AE205" s="21"/>
    </row>
    <row r="206" spans="1:31" ht="15" customHeight="1">
      <c r="A206" s="27">
        <v>377</v>
      </c>
      <c r="B206" s="12" t="str">
        <f>"г. Череповец, ул. Гоголя, д. 28"</f>
        <v>г. Череповец, ул. Гоголя, д. 28</v>
      </c>
      <c r="C206" s="13">
        <f>D206+E206+F206+G206+H206+I206+K206+M206+O206+Q206+S206+T206+U206+V206+W206+X206+Y206</f>
        <v>7672742.32</v>
      </c>
      <c r="D206" s="13"/>
      <c r="E206" s="13"/>
      <c r="F206" s="13"/>
      <c r="G206" s="13"/>
      <c r="H206" s="13"/>
      <c r="I206" s="13"/>
      <c r="J206" s="13">
        <v>4</v>
      </c>
      <c r="K206" s="13">
        <v>7672742.32</v>
      </c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20"/>
      <c r="AA206" s="20"/>
      <c r="AB206" s="20"/>
      <c r="AC206" s="20"/>
      <c r="AD206" s="20"/>
      <c r="AE206" s="21"/>
    </row>
    <row r="207" spans="1:31" ht="15" customHeight="1">
      <c r="A207" s="27">
        <v>378</v>
      </c>
      <c r="B207" s="12" t="str">
        <f>"г. Череповец, ул. Годовикова, д. 14"</f>
        <v>г. Череповец, ул. Годовикова, д. 14</v>
      </c>
      <c r="C207" s="13">
        <f>D207+E207+F207+G207+H207+I207+K207+M207+O207+Q207+S207+T207+U207+V207+W207+X207+Y207</f>
        <v>11722329.5</v>
      </c>
      <c r="D207" s="13"/>
      <c r="E207" s="13"/>
      <c r="F207" s="13"/>
      <c r="G207" s="13"/>
      <c r="H207" s="13"/>
      <c r="I207" s="13"/>
      <c r="J207" s="13"/>
      <c r="K207" s="13"/>
      <c r="L207" s="13">
        <v>1501.9</v>
      </c>
      <c r="M207" s="13">
        <f>L207*7805</f>
        <v>11722329.5</v>
      </c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20"/>
      <c r="AA207" s="20"/>
      <c r="AB207" s="20"/>
      <c r="AC207" s="20"/>
      <c r="AD207" s="20"/>
      <c r="AE207" s="21"/>
    </row>
    <row r="208" spans="1:30" ht="15" customHeight="1">
      <c r="A208" s="27">
        <v>379</v>
      </c>
      <c r="B208" s="12" t="str">
        <f>"г. Череповец, ул. Данилова, д. 26"</f>
        <v>г. Череповец, ул. Данилова, д. 26</v>
      </c>
      <c r="C208" s="13">
        <f>D208+E208+F208+G208+H208+I208+K208+M208+O208+Q208+S208++T208+U208+V208+W208+X208+Y208</f>
        <v>12000000</v>
      </c>
      <c r="D208" s="13"/>
      <c r="E208" s="13"/>
      <c r="F208" s="13"/>
      <c r="G208" s="13"/>
      <c r="H208" s="13"/>
      <c r="I208" s="13"/>
      <c r="J208" s="13">
        <v>4</v>
      </c>
      <c r="K208" s="13">
        <v>12000000</v>
      </c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20"/>
      <c r="AA208" s="20"/>
      <c r="AB208" s="20"/>
      <c r="AC208" s="20"/>
      <c r="AD208" s="20"/>
    </row>
    <row r="209" spans="1:30" ht="15" customHeight="1">
      <c r="A209" s="27">
        <v>380</v>
      </c>
      <c r="B209" s="19" t="s">
        <v>81</v>
      </c>
      <c r="C209" s="13">
        <f t="shared" si="3"/>
        <v>1843204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>
        <v>727296</v>
      </c>
      <c r="V209" s="13"/>
      <c r="W209" s="13"/>
      <c r="X209" s="13"/>
      <c r="Y209" s="13"/>
      <c r="Z209" s="20">
        <v>1115908</v>
      </c>
      <c r="AA209" s="20"/>
      <c r="AB209" s="20"/>
      <c r="AC209" s="20"/>
      <c r="AD209" s="20"/>
    </row>
    <row r="210" spans="1:30" ht="15" customHeight="1">
      <c r="A210" s="27">
        <v>381</v>
      </c>
      <c r="B210" s="19" t="s">
        <v>82</v>
      </c>
      <c r="C210" s="13">
        <f t="shared" si="3"/>
        <v>1843204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>
        <v>727296</v>
      </c>
      <c r="V210" s="13"/>
      <c r="W210" s="13"/>
      <c r="X210" s="13"/>
      <c r="Y210" s="13"/>
      <c r="Z210" s="20">
        <v>1115908</v>
      </c>
      <c r="AA210" s="20"/>
      <c r="AB210" s="20"/>
      <c r="AC210" s="20"/>
      <c r="AD210" s="20"/>
    </row>
    <row r="211" spans="1:30" ht="15" customHeight="1">
      <c r="A211" s="27">
        <v>382</v>
      </c>
      <c r="B211" s="12" t="str">
        <f>"г. Череповец, ул. К.Белова, д. 7"</f>
        <v>г. Череповец, ул. К.Белова, д. 7</v>
      </c>
      <c r="C211" s="13">
        <f t="shared" si="3"/>
        <v>727296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>
        <v>727296</v>
      </c>
      <c r="V211" s="13"/>
      <c r="W211" s="13"/>
      <c r="X211" s="13"/>
      <c r="Y211" s="13"/>
      <c r="Z211" s="20"/>
      <c r="AA211" s="20"/>
      <c r="AB211" s="20"/>
      <c r="AC211" s="20"/>
      <c r="AD211" s="20"/>
    </row>
    <row r="212" spans="1:30" ht="15" customHeight="1">
      <c r="A212" s="27">
        <v>383</v>
      </c>
      <c r="B212" s="12" t="str">
        <f>"г. Череповец, ул. К.Белова, д. 31"</f>
        <v>г. Череповец, ул. К.Белова, д. 31</v>
      </c>
      <c r="C212" s="13">
        <f>D212+E212+F212+G212+H212+I212+K212+M212+O212+Q212+S212++T212+U212+V212+W212+X212+Y212</f>
        <v>6000000</v>
      </c>
      <c r="D212" s="13"/>
      <c r="E212" s="13"/>
      <c r="F212" s="13"/>
      <c r="G212" s="13"/>
      <c r="H212" s="13"/>
      <c r="I212" s="13"/>
      <c r="J212" s="13">
        <v>2</v>
      </c>
      <c r="K212" s="13">
        <v>6000000</v>
      </c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20"/>
      <c r="AA212" s="20"/>
      <c r="AB212" s="20"/>
      <c r="AC212" s="20"/>
      <c r="AD212" s="20"/>
    </row>
    <row r="213" spans="1:31" ht="15" customHeight="1">
      <c r="A213" s="27">
        <v>384</v>
      </c>
      <c r="B213" s="12" t="s">
        <v>54</v>
      </c>
      <c r="C213" s="13">
        <f>D213+E213+F213+G213+H213+I213+K213+M213+O213+Q213+S213+T213+U213+V213+W213+X213+Y213</f>
        <v>2785372.5</v>
      </c>
      <c r="D213" s="13"/>
      <c r="E213" s="13"/>
      <c r="F213" s="13"/>
      <c r="G213" s="13"/>
      <c r="H213" s="13"/>
      <c r="I213" s="13"/>
      <c r="J213" s="13"/>
      <c r="K213" s="13"/>
      <c r="L213" s="13">
        <v>700</v>
      </c>
      <c r="M213" s="13">
        <v>2785372.5</v>
      </c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20"/>
      <c r="AA213" s="20"/>
      <c r="AB213" s="20"/>
      <c r="AC213" s="20"/>
      <c r="AD213" s="20"/>
      <c r="AE213" s="21"/>
    </row>
    <row r="214" spans="1:31" ht="15" customHeight="1">
      <c r="A214" s="27">
        <v>385</v>
      </c>
      <c r="B214" s="19" t="s">
        <v>83</v>
      </c>
      <c r="C214" s="13">
        <f>D214+E214+F214+G214+H214+I214+K214+M214+O214+Q214+S214+T214+U214+V214+W214+X214+Y214</f>
        <v>727296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>
        <v>727296</v>
      </c>
      <c r="V214" s="13"/>
      <c r="W214" s="13"/>
      <c r="X214" s="13"/>
      <c r="Y214" s="13"/>
      <c r="Z214" s="20"/>
      <c r="AA214" s="20"/>
      <c r="AB214" s="20"/>
      <c r="AC214" s="20"/>
      <c r="AD214" s="20"/>
      <c r="AE214" s="21"/>
    </row>
    <row r="215" spans="1:30" ht="15" customHeight="1">
      <c r="A215" s="27">
        <v>386</v>
      </c>
      <c r="B215" s="12" t="str">
        <f>"г. Череповец, ул. К.Белова, д. 41"</f>
        <v>г. Череповец, ул. К.Белова, д. 41</v>
      </c>
      <c r="C215" s="13">
        <f>D215+E215+F215+G215+H215+I215+K215+M215+O215+Q215+S215++T215+U215+V215+W215+X215+Y215</f>
        <v>6000000</v>
      </c>
      <c r="D215" s="13"/>
      <c r="E215" s="13"/>
      <c r="F215" s="13"/>
      <c r="G215" s="13"/>
      <c r="H215" s="13"/>
      <c r="I215" s="13"/>
      <c r="J215" s="13">
        <v>2</v>
      </c>
      <c r="K215" s="13">
        <v>6000000</v>
      </c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20"/>
      <c r="AA215" s="20"/>
      <c r="AB215" s="20"/>
      <c r="AC215" s="20"/>
      <c r="AD215" s="20"/>
    </row>
    <row r="216" spans="1:30" ht="15" customHeight="1">
      <c r="A216" s="27">
        <v>387</v>
      </c>
      <c r="B216" s="12" t="str">
        <f>"г. Череповец, ул. К.Беляева, д. 2"</f>
        <v>г. Череповец, ул. К.Беляева, д. 2</v>
      </c>
      <c r="C216" s="13">
        <f t="shared" si="3"/>
        <v>1360000</v>
      </c>
      <c r="D216" s="13">
        <v>1360000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20"/>
      <c r="AA216" s="20"/>
      <c r="AB216" s="20"/>
      <c r="AC216" s="20"/>
      <c r="AD216" s="20"/>
    </row>
    <row r="217" spans="1:30" ht="15" customHeight="1">
      <c r="A217" s="27">
        <v>388</v>
      </c>
      <c r="B217" s="12" t="str">
        <f>"г. Череповец, ул. К.Беляева, д. 2А"</f>
        <v>г. Череповец, ул. К.Беляева, д. 2А</v>
      </c>
      <c r="C217" s="13">
        <f t="shared" si="3"/>
        <v>19360000</v>
      </c>
      <c r="D217" s="13">
        <v>1360000</v>
      </c>
      <c r="E217" s="13"/>
      <c r="F217" s="13"/>
      <c r="G217" s="13"/>
      <c r="H217" s="13"/>
      <c r="I217" s="13"/>
      <c r="J217" s="13">
        <v>6</v>
      </c>
      <c r="K217" s="13">
        <v>18000000</v>
      </c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20"/>
      <c r="AA217" s="20"/>
      <c r="AB217" s="20"/>
      <c r="AC217" s="20"/>
      <c r="AD217" s="20"/>
    </row>
    <row r="218" spans="1:30" ht="15" customHeight="1">
      <c r="A218" s="27">
        <v>389</v>
      </c>
      <c r="B218" s="12" t="str">
        <f>"г. Череповец, ул. К.Беляева, д. 2/82"</f>
        <v>г. Череповец, ул. К.Беляева, д. 2/82</v>
      </c>
      <c r="C218" s="13">
        <f t="shared" si="3"/>
        <v>4648761</v>
      </c>
      <c r="D218" s="13">
        <v>1360000</v>
      </c>
      <c r="E218" s="13"/>
      <c r="F218" s="13"/>
      <c r="G218" s="13"/>
      <c r="H218" s="13"/>
      <c r="I218" s="13"/>
      <c r="J218" s="13">
        <v>1</v>
      </c>
      <c r="K218" s="13">
        <v>3000000</v>
      </c>
      <c r="L218" s="13"/>
      <c r="M218" s="13"/>
      <c r="N218" s="13"/>
      <c r="O218" s="13"/>
      <c r="P218" s="13"/>
      <c r="Q218" s="13"/>
      <c r="R218" s="13"/>
      <c r="S218" s="13"/>
      <c r="T218" s="13"/>
      <c r="U218" s="13">
        <v>288761</v>
      </c>
      <c r="V218" s="13"/>
      <c r="W218" s="13"/>
      <c r="X218" s="13"/>
      <c r="Y218" s="13"/>
      <c r="Z218" s="20"/>
      <c r="AA218" s="20"/>
      <c r="AB218" s="20"/>
      <c r="AC218" s="20"/>
      <c r="AD218" s="20"/>
    </row>
    <row r="219" spans="1:30" ht="14.25" customHeight="1">
      <c r="A219" s="27">
        <v>390</v>
      </c>
      <c r="B219" s="12" t="str">
        <f>"г. Череповец, ул. К.Беляева, д. 31"</f>
        <v>г. Череповец, ул. К.Беляева, д. 31</v>
      </c>
      <c r="C219" s="13">
        <f t="shared" si="3"/>
        <v>2110000</v>
      </c>
      <c r="D219" s="13">
        <v>2110000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20"/>
      <c r="AA219" s="20"/>
      <c r="AB219" s="20"/>
      <c r="AC219" s="20"/>
      <c r="AD219" s="20"/>
    </row>
    <row r="220" spans="1:30" ht="15" customHeight="1">
      <c r="A220" s="27">
        <v>391</v>
      </c>
      <c r="B220" s="12" t="str">
        <f>"г. Череповец, ул. К.Беляева, д. 35"</f>
        <v>г. Череповец, ул. К.Беляева, д. 35</v>
      </c>
      <c r="C220" s="13">
        <f t="shared" si="3"/>
        <v>1200000</v>
      </c>
      <c r="D220" s="13">
        <v>1200000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20"/>
      <c r="AA220" s="20"/>
      <c r="AB220" s="20"/>
      <c r="AC220" s="20"/>
      <c r="AD220" s="20"/>
    </row>
    <row r="221" spans="1:30" ht="15" customHeight="1">
      <c r="A221" s="27">
        <v>392</v>
      </c>
      <c r="B221" s="12" t="str">
        <f>"г. Череповец, ул. К.Беляева, д. 8"</f>
        <v>г. Череповец, ул. К.Беляева, д. 8</v>
      </c>
      <c r="C221" s="13">
        <f t="shared" si="3"/>
        <v>1830550</v>
      </c>
      <c r="D221" s="13"/>
      <c r="E221" s="13"/>
      <c r="F221" s="13"/>
      <c r="G221" s="13">
        <f>1796*287</f>
        <v>515452</v>
      </c>
      <c r="H221" s="13">
        <f>2104*287</f>
        <v>603848</v>
      </c>
      <c r="I221" s="13">
        <f>2845*250</f>
        <v>711250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20"/>
      <c r="AA221" s="20"/>
      <c r="AB221" s="20"/>
      <c r="AC221" s="20"/>
      <c r="AD221" s="20"/>
    </row>
    <row r="222" spans="1:30" ht="15" customHeight="1">
      <c r="A222" s="27">
        <v>393</v>
      </c>
      <c r="B222" s="12" t="str">
        <f>"г. Череповец, ул. К.Маркса, д. 72А"</f>
        <v>г. Череповец, ул. К.Маркса, д. 72А</v>
      </c>
      <c r="C222" s="13">
        <f t="shared" si="3"/>
        <v>760000</v>
      </c>
      <c r="D222" s="13"/>
      <c r="E222" s="13"/>
      <c r="F222" s="13"/>
      <c r="G222" s="13"/>
      <c r="H222" s="13"/>
      <c r="I222" s="13"/>
      <c r="J222" s="13"/>
      <c r="K222" s="13"/>
      <c r="L222" s="13">
        <v>380</v>
      </c>
      <c r="M222" s="13">
        <v>760000</v>
      </c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20"/>
      <c r="AA222" s="20"/>
      <c r="AB222" s="20"/>
      <c r="AC222" s="20"/>
      <c r="AD222" s="20"/>
    </row>
    <row r="223" spans="1:30" ht="15" customHeight="1">
      <c r="A223" s="27">
        <v>394</v>
      </c>
      <c r="B223" s="12" t="str">
        <f>"г. Череповец, ул. К.Маркса, д. 76"</f>
        <v>г. Череповец, ул. К.Маркса, д. 76</v>
      </c>
      <c r="C223" s="13">
        <f t="shared" si="3"/>
        <v>841600</v>
      </c>
      <c r="D223" s="13"/>
      <c r="E223" s="13"/>
      <c r="F223" s="13"/>
      <c r="G223" s="13"/>
      <c r="H223" s="13"/>
      <c r="I223" s="13"/>
      <c r="J223" s="13"/>
      <c r="K223" s="13"/>
      <c r="L223" s="13">
        <v>420.8</v>
      </c>
      <c r="M223" s="13">
        <v>841600</v>
      </c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20"/>
      <c r="AA223" s="20"/>
      <c r="AB223" s="20"/>
      <c r="AC223" s="20"/>
      <c r="AD223" s="20"/>
    </row>
    <row r="224" spans="1:31" ht="15" customHeight="1">
      <c r="A224" s="27">
        <v>395</v>
      </c>
      <c r="B224" s="12" t="s">
        <v>84</v>
      </c>
      <c r="C224" s="13">
        <f>D224+E224+F224+G224+H224+I224+K224+M224+O224+Q224+S224+T224+U224+V224+W224+X224+Y224</f>
        <v>3181668.97</v>
      </c>
      <c r="D224" s="13"/>
      <c r="E224" s="13"/>
      <c r="F224" s="13"/>
      <c r="G224" s="13"/>
      <c r="H224" s="13"/>
      <c r="I224" s="13"/>
      <c r="J224" s="13"/>
      <c r="K224" s="13"/>
      <c r="L224" s="13">
        <v>617.7</v>
      </c>
      <c r="M224" s="13">
        <v>3181668.97</v>
      </c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20"/>
      <c r="AA224" s="20"/>
      <c r="AB224" s="20"/>
      <c r="AC224" s="20"/>
      <c r="AD224" s="20"/>
      <c r="AE224" s="21"/>
    </row>
    <row r="225" spans="1:30" ht="15" customHeight="1">
      <c r="A225" s="27">
        <v>396</v>
      </c>
      <c r="B225" s="12" t="str">
        <f>"г. Череповец, ул. Коллективная, д. 10"</f>
        <v>г. Череповец, ул. Коллективная, д. 10</v>
      </c>
      <c r="C225" s="13">
        <f t="shared" si="3"/>
        <v>183384</v>
      </c>
      <c r="D225" s="13"/>
      <c r="E225" s="13"/>
      <c r="F225" s="13">
        <v>183384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20"/>
      <c r="AA225" s="20"/>
      <c r="AB225" s="20"/>
      <c r="AC225" s="20"/>
      <c r="AD225" s="20"/>
    </row>
    <row r="226" spans="1:30" ht="15" customHeight="1">
      <c r="A226" s="27">
        <v>397</v>
      </c>
      <c r="B226" s="12" t="str">
        <f>"г. Череповец, ул. Коллективная, д. 6"</f>
        <v>г. Череповец, ул. Коллективная, д. 6</v>
      </c>
      <c r="C226" s="13">
        <f t="shared" si="3"/>
        <v>139915.2</v>
      </c>
      <c r="D226" s="13"/>
      <c r="E226" s="13"/>
      <c r="F226" s="13">
        <v>139915.2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20"/>
      <c r="AA226" s="20"/>
      <c r="AB226" s="20"/>
      <c r="AC226" s="20"/>
      <c r="AD226" s="20"/>
    </row>
    <row r="227" spans="1:30" ht="15" customHeight="1">
      <c r="A227" s="27">
        <v>398</v>
      </c>
      <c r="B227" s="12" t="str">
        <f>"г. Череповец, ул. Красная, д. 1А"</f>
        <v>г. Череповец, ул. Красная, д. 1А</v>
      </c>
      <c r="C227" s="13">
        <f t="shared" si="3"/>
        <v>2004904</v>
      </c>
      <c r="D227" s="13"/>
      <c r="E227" s="13">
        <v>1074400</v>
      </c>
      <c r="F227" s="13">
        <v>930504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20"/>
      <c r="AA227" s="20"/>
      <c r="AB227" s="20"/>
      <c r="AC227" s="20"/>
      <c r="AD227" s="20"/>
    </row>
    <row r="228" spans="1:31" ht="15" customHeight="1">
      <c r="A228" s="27">
        <v>399</v>
      </c>
      <c r="B228" s="12" t="str">
        <f>"г. Череповец, ул. Краснодонцев, д. 22"</f>
        <v>г. Череповец, ул. Краснодонцев, д. 22</v>
      </c>
      <c r="C228" s="13">
        <f>D228+E228+F228+G228+H228+I228+K228+M228+O228+Q228+S228+T228+U228+V228+W228+X228+Y228</f>
        <v>3316510.36</v>
      </c>
      <c r="D228" s="13"/>
      <c r="E228" s="13"/>
      <c r="F228" s="13"/>
      <c r="G228" s="13"/>
      <c r="H228" s="13"/>
      <c r="I228" s="13"/>
      <c r="J228" s="13">
        <v>2</v>
      </c>
      <c r="K228" s="13">
        <v>3316510.36</v>
      </c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20"/>
      <c r="AA228" s="20"/>
      <c r="AB228" s="20"/>
      <c r="AC228" s="20"/>
      <c r="AD228" s="20"/>
      <c r="AE228" s="21"/>
    </row>
    <row r="229" spans="1:31" ht="15" customHeight="1">
      <c r="A229" s="27">
        <v>400</v>
      </c>
      <c r="B229" s="12" t="str">
        <f>"г. Череповец, ул. Краснодонцев, д. 35"</f>
        <v>г. Череповец, ул. Краснодонцев, д. 35</v>
      </c>
      <c r="C229" s="13">
        <f>D229+E229+F229+G229+H229+I229+K229+M229+O229+Q229+S229+T229+U229+V229+W229+X229+Y229</f>
        <v>3836371.16</v>
      </c>
      <c r="D229" s="13"/>
      <c r="E229" s="13"/>
      <c r="F229" s="13"/>
      <c r="G229" s="13"/>
      <c r="H229" s="13"/>
      <c r="I229" s="13"/>
      <c r="J229" s="13">
        <v>2</v>
      </c>
      <c r="K229" s="13">
        <v>3836371.16</v>
      </c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20"/>
      <c r="AA229" s="20"/>
      <c r="AB229" s="20"/>
      <c r="AC229" s="20"/>
      <c r="AD229" s="20"/>
      <c r="AE229" s="21"/>
    </row>
    <row r="230" spans="1:31" ht="15" customHeight="1">
      <c r="A230" s="27">
        <v>401</v>
      </c>
      <c r="B230" s="12" t="str">
        <f>"г. Череповец, ул. Краснодонцев, д. 37"</f>
        <v>г. Череповец, ул. Краснодонцев, д. 37</v>
      </c>
      <c r="C230" s="13">
        <f>D230+E230+F230+G230+H230+I230+K230+M230+O230+Q230+S230+T230+U230+V230+W230+X230+Y230</f>
        <v>1658255.18</v>
      </c>
      <c r="D230" s="13"/>
      <c r="E230" s="13"/>
      <c r="F230" s="13"/>
      <c r="G230" s="13"/>
      <c r="H230" s="13"/>
      <c r="I230" s="13"/>
      <c r="J230" s="13">
        <v>1</v>
      </c>
      <c r="K230" s="13">
        <v>1658255.18</v>
      </c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0"/>
      <c r="AA230" s="20"/>
      <c r="AB230" s="20"/>
      <c r="AC230" s="20"/>
      <c r="AD230" s="20"/>
      <c r="AE230" s="21"/>
    </row>
    <row r="231" spans="1:31" ht="15" customHeight="1">
      <c r="A231" s="27">
        <v>402</v>
      </c>
      <c r="B231" s="12" t="str">
        <f>"г. Череповец, ул. Краснодонцев, д. 96"</f>
        <v>г. Череповец, ул. Краснодонцев, д. 96</v>
      </c>
      <c r="C231" s="13">
        <f>D231+E231+F231+G231+H231+I231+K231+M231+O231+Q231+S231+T231+U231+V231+W231+X231+Y231</f>
        <v>3889803.92</v>
      </c>
      <c r="D231" s="13"/>
      <c r="E231" s="13"/>
      <c r="F231" s="13"/>
      <c r="G231" s="13"/>
      <c r="H231" s="13"/>
      <c r="I231" s="13"/>
      <c r="J231" s="13">
        <v>2</v>
      </c>
      <c r="K231" s="13">
        <v>3889803.92</v>
      </c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20"/>
      <c r="AA231" s="20"/>
      <c r="AB231" s="20"/>
      <c r="AC231" s="20"/>
      <c r="AD231" s="20"/>
      <c r="AE231" s="21"/>
    </row>
    <row r="232" spans="1:30" ht="15" customHeight="1">
      <c r="A232" s="27">
        <v>403</v>
      </c>
      <c r="B232" s="12" t="str">
        <f>"г. Череповец, ул. Краснодонцев, д. 108"</f>
        <v>г. Череповец, ул. Краснодонцев, д. 108</v>
      </c>
      <c r="C232" s="13">
        <f t="shared" si="3"/>
        <v>3620850</v>
      </c>
      <c r="D232" s="13"/>
      <c r="E232" s="13"/>
      <c r="F232" s="13"/>
      <c r="G232" s="13">
        <v>808200</v>
      </c>
      <c r="H232" s="13">
        <v>1262400</v>
      </c>
      <c r="I232" s="13">
        <v>1280250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>
        <v>270000</v>
      </c>
      <c r="Y232" s="13"/>
      <c r="Z232" s="20"/>
      <c r="AA232" s="20"/>
      <c r="AB232" s="20"/>
      <c r="AC232" s="20"/>
      <c r="AD232" s="20"/>
    </row>
    <row r="233" spans="1:30" ht="15" customHeight="1">
      <c r="A233" s="27">
        <v>404</v>
      </c>
      <c r="B233" s="19" t="s">
        <v>85</v>
      </c>
      <c r="C233" s="13">
        <f>D233+E233+F233+G233+H233+I233+K233+M233+O233+Q233+S233+T233+U233+V233+W233+X233+Y233+Z233+AA233+AB233+AC233+AD233</f>
        <v>1029000</v>
      </c>
      <c r="D233" s="13"/>
      <c r="E233" s="13"/>
      <c r="F233" s="13"/>
      <c r="G233" s="13"/>
      <c r="H233" s="13"/>
      <c r="I233" s="13"/>
      <c r="J233" s="13"/>
      <c r="K233" s="13"/>
      <c r="L233" s="13">
        <v>411.6</v>
      </c>
      <c r="M233" s="13">
        <v>1029000</v>
      </c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20"/>
      <c r="AA233" s="20"/>
      <c r="AB233" s="20"/>
      <c r="AC233" s="20"/>
      <c r="AD233" s="20"/>
    </row>
    <row r="234" spans="1:30" ht="15" customHeight="1">
      <c r="A234" s="27">
        <v>405</v>
      </c>
      <c r="B234" s="19" t="s">
        <v>86</v>
      </c>
      <c r="C234" s="13">
        <f t="shared" si="3"/>
        <v>1029000</v>
      </c>
      <c r="D234" s="13"/>
      <c r="E234" s="13"/>
      <c r="F234" s="13"/>
      <c r="G234" s="13"/>
      <c r="H234" s="13"/>
      <c r="I234" s="13"/>
      <c r="J234" s="13"/>
      <c r="K234" s="13"/>
      <c r="L234" s="13">
        <v>411.6</v>
      </c>
      <c r="M234" s="13">
        <v>1029000</v>
      </c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20"/>
      <c r="AA234" s="20"/>
      <c r="AB234" s="20"/>
      <c r="AC234" s="20"/>
      <c r="AD234" s="20"/>
    </row>
    <row r="235" spans="1:30" ht="15" customHeight="1">
      <c r="A235" s="27">
        <v>406</v>
      </c>
      <c r="B235" s="12" t="str">
        <f>"г. Череповец, ул. Краснодонцев, д. 88"</f>
        <v>г. Череповец, ул. Краснодонцев, д. 88</v>
      </c>
      <c r="C235" s="13">
        <f t="shared" si="3"/>
        <v>270000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>
        <v>270000</v>
      </c>
      <c r="Y235" s="13"/>
      <c r="Z235" s="20"/>
      <c r="AA235" s="20"/>
      <c r="AB235" s="20"/>
      <c r="AC235" s="20"/>
      <c r="AD235" s="20"/>
    </row>
    <row r="236" spans="1:30" ht="15" customHeight="1">
      <c r="A236" s="27">
        <v>407</v>
      </c>
      <c r="B236" s="12" t="str">
        <f>"г. Череповец, ул. Краснодонцев, д. 94"</f>
        <v>г. Череповец, ул. Краснодонцев, д. 94</v>
      </c>
      <c r="C236" s="13">
        <f t="shared" si="3"/>
        <v>270000</v>
      </c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>
        <v>270000</v>
      </c>
      <c r="Y236" s="13"/>
      <c r="Z236" s="20"/>
      <c r="AA236" s="20"/>
      <c r="AB236" s="20"/>
      <c r="AC236" s="20"/>
      <c r="AD236" s="20"/>
    </row>
    <row r="237" spans="1:30" ht="15" customHeight="1">
      <c r="A237" s="27">
        <v>408</v>
      </c>
      <c r="B237" s="12" t="str">
        <f>"г. Череповец, ул. Ленина, д. 109"</f>
        <v>г. Череповец, ул. Ленина, д. 109</v>
      </c>
      <c r="C237" s="13">
        <f t="shared" si="3"/>
        <v>2996000</v>
      </c>
      <c r="D237" s="13"/>
      <c r="E237" s="13"/>
      <c r="F237" s="13"/>
      <c r="G237" s="13"/>
      <c r="H237" s="13"/>
      <c r="I237" s="13"/>
      <c r="J237" s="13"/>
      <c r="K237" s="13"/>
      <c r="L237" s="13">
        <v>1498</v>
      </c>
      <c r="M237" s="13">
        <v>2996000</v>
      </c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20"/>
      <c r="AA237" s="20"/>
      <c r="AB237" s="20"/>
      <c r="AC237" s="20"/>
      <c r="AD237" s="20"/>
    </row>
    <row r="238" spans="1:30" ht="15" customHeight="1">
      <c r="A238" s="27">
        <v>409</v>
      </c>
      <c r="B238" s="12" t="str">
        <f>"г. Череповец, ул. Ленина, д. 115"</f>
        <v>г. Череповец, ул. Ленина, д. 115</v>
      </c>
      <c r="C238" s="13">
        <f t="shared" si="3"/>
        <v>1728000</v>
      </c>
      <c r="D238" s="13"/>
      <c r="E238" s="13"/>
      <c r="F238" s="13"/>
      <c r="G238" s="13"/>
      <c r="H238" s="13"/>
      <c r="I238" s="13"/>
      <c r="J238" s="13"/>
      <c r="K238" s="13"/>
      <c r="L238" s="13">
        <v>864</v>
      </c>
      <c r="M238" s="13">
        <v>1728000</v>
      </c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20"/>
      <c r="AA238" s="20"/>
      <c r="AB238" s="20"/>
      <c r="AC238" s="20"/>
      <c r="AD238" s="20"/>
    </row>
    <row r="239" spans="1:30" ht="15" customHeight="1">
      <c r="A239" s="27">
        <v>410</v>
      </c>
      <c r="B239" s="12" t="str">
        <f>"г. Череповец, ул. Ленина, д. 122"</f>
        <v>г. Череповец, ул. Ленина, д. 122</v>
      </c>
      <c r="C239" s="13">
        <f t="shared" si="3"/>
        <v>3360004</v>
      </c>
      <c r="D239" s="13"/>
      <c r="E239" s="13">
        <v>1516800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>
        <v>727296</v>
      </c>
      <c r="V239" s="13"/>
      <c r="W239" s="13"/>
      <c r="X239" s="13"/>
      <c r="Y239" s="13"/>
      <c r="Z239" s="20">
        <v>1115908</v>
      </c>
      <c r="AA239" s="20"/>
      <c r="AB239" s="20"/>
      <c r="AC239" s="20"/>
      <c r="AD239" s="20"/>
    </row>
    <row r="240" spans="1:30" ht="15" customHeight="1">
      <c r="A240" s="27">
        <v>411</v>
      </c>
      <c r="B240" s="19" t="s">
        <v>87</v>
      </c>
      <c r="C240" s="13">
        <f>D240+E240+F240+G240+H240+I240+K240+M240+O240+Q240+S240+T240+U240+V240+W240+X240+Y240+Z240+AA240+AB240+AC240+AD240</f>
        <v>1843204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>
        <v>727296</v>
      </c>
      <c r="V240" s="13"/>
      <c r="W240" s="13"/>
      <c r="X240" s="13"/>
      <c r="Y240" s="13"/>
      <c r="Z240" s="20">
        <v>1115908</v>
      </c>
      <c r="AA240" s="20"/>
      <c r="AB240" s="20"/>
      <c r="AC240" s="20"/>
      <c r="AD240" s="20"/>
    </row>
    <row r="241" spans="1:30" ht="15" customHeight="1">
      <c r="A241" s="27">
        <v>412</v>
      </c>
      <c r="B241" s="19" t="s">
        <v>88</v>
      </c>
      <c r="C241" s="13">
        <f>D241+E241+F241+G241+H241+I241+K241+M241+O241+Q241+S241+T241+U241+V241+W241+X241+Y241+Z241+AA241+AB241+AC241+AD241</f>
        <v>1843204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>
        <v>727296</v>
      </c>
      <c r="V241" s="13"/>
      <c r="W241" s="13"/>
      <c r="X241" s="13"/>
      <c r="Y241" s="13"/>
      <c r="Z241" s="20">
        <v>1115908</v>
      </c>
      <c r="AA241" s="20"/>
      <c r="AB241" s="20"/>
      <c r="AC241" s="20"/>
      <c r="AD241" s="20"/>
    </row>
    <row r="242" spans="1:30" ht="15" customHeight="1">
      <c r="A242" s="27">
        <v>413</v>
      </c>
      <c r="B242" s="12" t="str">
        <f>"г. Череповец, ул. Ленина, д. 128"</f>
        <v>г. Череповец, ул. Ленина, д. 128</v>
      </c>
      <c r="C242" s="13">
        <f aca="true" t="shared" si="4" ref="C242:C248">D242+E242+F242+G242+H242+I242+K242+M242+O242+Q242+S242++T242+U242+V242+W242+X242+Y242</f>
        <v>2727296</v>
      </c>
      <c r="D242" s="13">
        <v>2000000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>
        <v>727296</v>
      </c>
      <c r="V242" s="13"/>
      <c r="W242" s="13"/>
      <c r="X242" s="13"/>
      <c r="Y242" s="13"/>
      <c r="Z242" s="20">
        <v>1115908</v>
      </c>
      <c r="AA242" s="20"/>
      <c r="AB242" s="20"/>
      <c r="AC242" s="20"/>
      <c r="AD242" s="20"/>
    </row>
    <row r="243" spans="1:30" ht="15" customHeight="1">
      <c r="A243" s="27">
        <v>414</v>
      </c>
      <c r="B243" s="12" t="str">
        <f>"г. Череповец, ул. Ленина, д. 131А"</f>
        <v>г. Череповец, ул. Ленина, д. 131А</v>
      </c>
      <c r="C243" s="13">
        <f t="shared" si="4"/>
        <v>511664</v>
      </c>
      <c r="D243" s="13"/>
      <c r="E243" s="13"/>
      <c r="F243" s="13">
        <v>511664</v>
      </c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20"/>
      <c r="AA243" s="20"/>
      <c r="AB243" s="20"/>
      <c r="AC243" s="20"/>
      <c r="AD243" s="20"/>
    </row>
    <row r="244" spans="1:30" ht="15" customHeight="1">
      <c r="A244" s="27">
        <v>415</v>
      </c>
      <c r="B244" s="12" t="str">
        <f>"г. Череповец, ул. Ленина, д. 131В"</f>
        <v>г. Череповец, ул. Ленина, д. 131В</v>
      </c>
      <c r="C244" s="13">
        <f t="shared" si="4"/>
        <v>407520</v>
      </c>
      <c r="D244" s="13"/>
      <c r="E244" s="13"/>
      <c r="F244" s="13">
        <v>407520</v>
      </c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20"/>
      <c r="AA244" s="20"/>
      <c r="AB244" s="20"/>
      <c r="AC244" s="20"/>
      <c r="AD244" s="20"/>
    </row>
    <row r="245" spans="1:30" ht="15" customHeight="1">
      <c r="A245" s="27">
        <v>416</v>
      </c>
      <c r="B245" s="12" t="str">
        <f>"г. Череповец, ул. Ленина, д. 132"</f>
        <v>г. Череповец, ул. Ленина, д. 132</v>
      </c>
      <c r="C245" s="13">
        <f t="shared" si="4"/>
        <v>3046096</v>
      </c>
      <c r="D245" s="13"/>
      <c r="E245" s="13"/>
      <c r="F245" s="13"/>
      <c r="G245" s="13"/>
      <c r="H245" s="13"/>
      <c r="I245" s="13"/>
      <c r="J245" s="13"/>
      <c r="K245" s="13"/>
      <c r="L245" s="13">
        <v>1159.4</v>
      </c>
      <c r="M245" s="13">
        <v>2318800</v>
      </c>
      <c r="N245" s="13"/>
      <c r="O245" s="13"/>
      <c r="P245" s="13"/>
      <c r="Q245" s="13"/>
      <c r="R245" s="13"/>
      <c r="S245" s="13"/>
      <c r="T245" s="13"/>
      <c r="U245" s="13">
        <v>727296</v>
      </c>
      <c r="V245" s="13"/>
      <c r="W245" s="13"/>
      <c r="X245" s="13"/>
      <c r="Y245" s="13"/>
      <c r="Z245" s="20">
        <v>1115908</v>
      </c>
      <c r="AA245" s="20"/>
      <c r="AB245" s="20"/>
      <c r="AC245" s="20"/>
      <c r="AD245" s="20"/>
    </row>
    <row r="246" spans="1:30" ht="15" customHeight="1">
      <c r="A246" s="27">
        <v>417</v>
      </c>
      <c r="B246" s="12" t="str">
        <f>"г. Череповец, ул. Ленина, д. 133А"</f>
        <v>г. Череповец, ул. Ленина, д. 133А</v>
      </c>
      <c r="C246" s="13">
        <f t="shared" si="4"/>
        <v>738064</v>
      </c>
      <c r="D246" s="13"/>
      <c r="E246" s="13"/>
      <c r="F246" s="13">
        <v>738064</v>
      </c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20"/>
      <c r="AA246" s="20"/>
      <c r="AB246" s="20"/>
      <c r="AC246" s="20"/>
      <c r="AD246" s="20"/>
    </row>
    <row r="247" spans="1:30" ht="15" customHeight="1">
      <c r="A247" s="27">
        <v>418</v>
      </c>
      <c r="B247" s="12" t="str">
        <f>"г. Череповец, ул. Ленина, д. 133Б"</f>
        <v>г. Череповец, ул. Ленина, д. 133Б</v>
      </c>
      <c r="C247" s="13">
        <f t="shared" si="4"/>
        <v>407520</v>
      </c>
      <c r="D247" s="13"/>
      <c r="E247" s="13"/>
      <c r="F247" s="13">
        <v>407520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20"/>
      <c r="AA247" s="20"/>
      <c r="AB247" s="20"/>
      <c r="AC247" s="20"/>
      <c r="AD247" s="20"/>
    </row>
    <row r="248" spans="1:30" ht="15" customHeight="1">
      <c r="A248" s="27">
        <v>419</v>
      </c>
      <c r="B248" s="12" t="str">
        <f>"г. Череповец, ул. Ленина, д. 135"</f>
        <v>г. Череповец, ул. Ленина, д. 135</v>
      </c>
      <c r="C248" s="13">
        <f t="shared" si="4"/>
        <v>1165960</v>
      </c>
      <c r="D248" s="13"/>
      <c r="E248" s="13"/>
      <c r="F248" s="13">
        <v>1165960</v>
      </c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20"/>
      <c r="AA248" s="20"/>
      <c r="AB248" s="20"/>
      <c r="AC248" s="20"/>
      <c r="AD248" s="20"/>
    </row>
    <row r="249" spans="1:30" ht="15" customHeight="1">
      <c r="A249" s="27">
        <v>420</v>
      </c>
      <c r="B249" s="19" t="s">
        <v>89</v>
      </c>
      <c r="C249" s="13">
        <f>D249+E249+F249+G249+H249+I249+K249+M249+O249+Q249+S249+T249+U249+V249+W249+X249+Y249+Z249+AA249+AB249+AC249+AD249</f>
        <v>1843204</v>
      </c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>
        <v>727296</v>
      </c>
      <c r="V249" s="13"/>
      <c r="W249" s="13"/>
      <c r="X249" s="13"/>
      <c r="Y249" s="13"/>
      <c r="Z249" s="20">
        <v>1115908</v>
      </c>
      <c r="AA249" s="20"/>
      <c r="AB249" s="20"/>
      <c r="AC249" s="20"/>
      <c r="AD249" s="20"/>
    </row>
    <row r="250" spans="1:30" ht="15" customHeight="1">
      <c r="A250" s="27">
        <v>421</v>
      </c>
      <c r="B250" s="12" t="str">
        <f>"г. Череповец, ул. Ленина, д. 139"</f>
        <v>г. Череповец, ул. Ленина, д. 139</v>
      </c>
      <c r="C250" s="13">
        <f>D250+E250+F250+G250+H250+I250+K250+M250+O250+Q250+S250++T250+U250+V250+W250+X250+Y250</f>
        <v>3634496</v>
      </c>
      <c r="D250" s="13"/>
      <c r="E250" s="13">
        <v>2907200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>
        <v>727296</v>
      </c>
      <c r="V250" s="13"/>
      <c r="W250" s="13"/>
      <c r="X250" s="13"/>
      <c r="Y250" s="13"/>
      <c r="Z250" s="20">
        <v>1115908</v>
      </c>
      <c r="AA250" s="20"/>
      <c r="AB250" s="20"/>
      <c r="AC250" s="20"/>
      <c r="AD250" s="20"/>
    </row>
    <row r="251" spans="1:30" ht="15" customHeight="1">
      <c r="A251" s="27">
        <v>422</v>
      </c>
      <c r="B251" s="12" t="str">
        <f>"г. Череповец, ул. Ленина, д. 140"</f>
        <v>г. Череповец, ул. Ленина, д. 140</v>
      </c>
      <c r="C251" s="13">
        <f>D251+E251+F251+G251+H251+I251+K251+M251+O251+Q251+S251++T251+U251+V251+W251+X251+Y251</f>
        <v>1830550</v>
      </c>
      <c r="D251" s="13"/>
      <c r="E251" s="13"/>
      <c r="F251" s="13"/>
      <c r="G251" s="13">
        <f>1796*287</f>
        <v>515452</v>
      </c>
      <c r="H251" s="13">
        <f>2104*287</f>
        <v>603848</v>
      </c>
      <c r="I251" s="13">
        <f>2845*250</f>
        <v>711250</v>
      </c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20"/>
      <c r="AA251" s="20"/>
      <c r="AB251" s="20"/>
      <c r="AC251" s="20"/>
      <c r="AD251" s="20"/>
    </row>
    <row r="252" spans="1:30" ht="15" customHeight="1">
      <c r="A252" s="27">
        <v>423</v>
      </c>
      <c r="B252" s="12" t="str">
        <f>"г. Череповец, ул. Ленина, д. 141"</f>
        <v>г. Череповец, ул. Ленина, д. 141</v>
      </c>
      <c r="C252" s="13">
        <f>D252+E252+F252+G252+H252+I252+K252+M252+O252+Q252+S252++T252+U252+V252+W252+X252+Y252</f>
        <v>4800456</v>
      </c>
      <c r="D252" s="13"/>
      <c r="E252" s="13">
        <v>2907200</v>
      </c>
      <c r="F252" s="13">
        <v>1165960</v>
      </c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>
        <v>727296</v>
      </c>
      <c r="V252" s="13"/>
      <c r="W252" s="13"/>
      <c r="X252" s="13"/>
      <c r="Y252" s="13"/>
      <c r="Z252" s="20">
        <v>1115908</v>
      </c>
      <c r="AA252" s="20"/>
      <c r="AB252" s="20"/>
      <c r="AC252" s="20"/>
      <c r="AD252" s="20"/>
    </row>
    <row r="253" spans="1:30" ht="15" customHeight="1">
      <c r="A253" s="27">
        <v>424</v>
      </c>
      <c r="B253" s="19" t="s">
        <v>90</v>
      </c>
      <c r="C253" s="13">
        <f aca="true" t="shared" si="5" ref="C253:C293">D253+E253+F253+G253+H253+I253+K253+M253+O253+Q253+S253+T253+U253+V253+W253+X253+Y253+Z253+AA253+AB253+AC253+AD253</f>
        <v>1843204</v>
      </c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>
        <v>727296</v>
      </c>
      <c r="V253" s="13"/>
      <c r="W253" s="13"/>
      <c r="X253" s="13"/>
      <c r="Y253" s="13"/>
      <c r="Z253" s="20">
        <v>1115908</v>
      </c>
      <c r="AA253" s="20"/>
      <c r="AB253" s="20"/>
      <c r="AC253" s="20"/>
      <c r="AD253" s="20"/>
    </row>
    <row r="254" spans="1:30" ht="15" customHeight="1">
      <c r="A254" s="27">
        <v>425</v>
      </c>
      <c r="B254" s="12" t="str">
        <f>"г. Череповец, ул. Ленина, д. 143"</f>
        <v>г. Череповец, ул. Ленина, д. 143</v>
      </c>
      <c r="C254" s="13">
        <f t="shared" si="5"/>
        <v>1575744</v>
      </c>
      <c r="D254" s="13"/>
      <c r="E254" s="13"/>
      <c r="F254" s="13">
        <v>1575744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20"/>
      <c r="AA254" s="20"/>
      <c r="AB254" s="20"/>
      <c r="AC254" s="20"/>
      <c r="AD254" s="20"/>
    </row>
    <row r="255" spans="1:30" ht="15" customHeight="1">
      <c r="A255" s="27">
        <v>426</v>
      </c>
      <c r="B255" s="12" t="str">
        <f>"г. Череповец, ул. Ленина, д. 145"</f>
        <v>г. Череповец, ул. Ленина, д. 145</v>
      </c>
      <c r="C255" s="13">
        <f t="shared" si="5"/>
        <v>889752</v>
      </c>
      <c r="D255" s="13"/>
      <c r="E255" s="13"/>
      <c r="F255" s="13">
        <v>889752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20"/>
      <c r="AA255" s="20"/>
      <c r="AB255" s="20"/>
      <c r="AC255" s="20"/>
      <c r="AD255" s="20"/>
    </row>
    <row r="256" spans="1:30" ht="15" customHeight="1">
      <c r="A256" s="27">
        <v>427</v>
      </c>
      <c r="B256" s="19" t="s">
        <v>91</v>
      </c>
      <c r="C256" s="13">
        <f t="shared" si="5"/>
        <v>1843204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>
        <v>727296</v>
      </c>
      <c r="V256" s="13"/>
      <c r="W256" s="13"/>
      <c r="X256" s="13"/>
      <c r="Y256" s="13"/>
      <c r="Z256" s="20">
        <v>1115908</v>
      </c>
      <c r="AA256" s="20"/>
      <c r="AB256" s="20"/>
      <c r="AC256" s="20"/>
      <c r="AD256" s="20"/>
    </row>
    <row r="257" spans="1:30" ht="15" customHeight="1">
      <c r="A257" s="27">
        <v>428</v>
      </c>
      <c r="B257" s="12" t="str">
        <f>"г. Череповец, ул. Ленина, д. 155А"</f>
        <v>г. Череповец, ул. Ленина, д. 155А</v>
      </c>
      <c r="C257" s="13">
        <f t="shared" si="5"/>
        <v>4135804</v>
      </c>
      <c r="D257" s="13"/>
      <c r="E257" s="13"/>
      <c r="F257" s="13"/>
      <c r="G257" s="13"/>
      <c r="H257" s="13"/>
      <c r="I257" s="13"/>
      <c r="J257" s="13"/>
      <c r="K257" s="13"/>
      <c r="L257" s="13">
        <v>1146.3</v>
      </c>
      <c r="M257" s="13">
        <v>2292600</v>
      </c>
      <c r="N257" s="13"/>
      <c r="O257" s="13"/>
      <c r="P257" s="13"/>
      <c r="Q257" s="13"/>
      <c r="R257" s="13"/>
      <c r="S257" s="13"/>
      <c r="T257" s="13"/>
      <c r="U257" s="13">
        <v>727296</v>
      </c>
      <c r="V257" s="13"/>
      <c r="W257" s="13"/>
      <c r="X257" s="13"/>
      <c r="Y257" s="13"/>
      <c r="Z257" s="20">
        <v>1115908</v>
      </c>
      <c r="AA257" s="20"/>
      <c r="AB257" s="20"/>
      <c r="AC257" s="20"/>
      <c r="AD257" s="20"/>
    </row>
    <row r="258" spans="1:30" ht="15" customHeight="1">
      <c r="A258" s="27">
        <v>429</v>
      </c>
      <c r="B258" s="12" t="str">
        <f>"г. Череповец, ул. Ленина, д. 157"</f>
        <v>г. Череповец, ул. Ленина, д. 157</v>
      </c>
      <c r="C258" s="13">
        <f t="shared" si="5"/>
        <v>800000</v>
      </c>
      <c r="D258" s="13">
        <v>800000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20"/>
      <c r="AA258" s="20"/>
      <c r="AB258" s="20"/>
      <c r="AC258" s="20"/>
      <c r="AD258" s="20"/>
    </row>
    <row r="259" spans="1:30" ht="15" customHeight="1">
      <c r="A259" s="27">
        <v>430</v>
      </c>
      <c r="B259" s="12" t="str">
        <f>"г. Череповец, ул. Ленина, д. 169"</f>
        <v>г. Череповец, ул. Ленина, д. 169</v>
      </c>
      <c r="C259" s="13">
        <f t="shared" si="5"/>
        <v>2643204</v>
      </c>
      <c r="D259" s="13">
        <v>800000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>
        <v>727296</v>
      </c>
      <c r="V259" s="13"/>
      <c r="W259" s="13"/>
      <c r="X259" s="13"/>
      <c r="Y259" s="13"/>
      <c r="Z259" s="20">
        <v>1115908</v>
      </c>
      <c r="AA259" s="20"/>
      <c r="AB259" s="20"/>
      <c r="AC259" s="20"/>
      <c r="AD259" s="20"/>
    </row>
    <row r="260" spans="1:30" ht="15" customHeight="1">
      <c r="A260" s="27">
        <v>431</v>
      </c>
      <c r="B260" s="12" t="str">
        <f>"г. Череповец, ул. Ленина, д. 173"</f>
        <v>г. Череповец, ул. Ленина, д. 173</v>
      </c>
      <c r="C260" s="13">
        <f t="shared" si="5"/>
        <v>4139804</v>
      </c>
      <c r="D260" s="13"/>
      <c r="E260" s="13"/>
      <c r="F260" s="13"/>
      <c r="G260" s="13"/>
      <c r="H260" s="13"/>
      <c r="I260" s="13"/>
      <c r="J260" s="13"/>
      <c r="K260" s="13"/>
      <c r="L260" s="13">
        <v>1148.3</v>
      </c>
      <c r="M260" s="13">
        <v>2296600</v>
      </c>
      <c r="N260" s="13"/>
      <c r="O260" s="13"/>
      <c r="P260" s="13"/>
      <c r="Q260" s="13"/>
      <c r="R260" s="13"/>
      <c r="S260" s="13"/>
      <c r="T260" s="13"/>
      <c r="U260" s="13">
        <v>727296</v>
      </c>
      <c r="V260" s="13"/>
      <c r="W260" s="13"/>
      <c r="X260" s="13"/>
      <c r="Y260" s="13"/>
      <c r="Z260" s="20">
        <v>1115908</v>
      </c>
      <c r="AA260" s="20"/>
      <c r="AB260" s="20"/>
      <c r="AC260" s="20"/>
      <c r="AD260" s="20"/>
    </row>
    <row r="261" spans="1:30" ht="15" customHeight="1">
      <c r="A261" s="27">
        <v>432</v>
      </c>
      <c r="B261" s="12" t="str">
        <f>"г. Череповец, ул. Ленина, д. 52"</f>
        <v>г. Череповец, ул. Ленина, д. 52</v>
      </c>
      <c r="C261" s="13">
        <f t="shared" si="5"/>
        <v>7959840</v>
      </c>
      <c r="D261" s="13"/>
      <c r="E261" s="13"/>
      <c r="F261" s="13"/>
      <c r="G261" s="13">
        <f>1416*1796</f>
        <v>2543136</v>
      </c>
      <c r="H261" s="13">
        <f>1536*2104</f>
        <v>3231744</v>
      </c>
      <c r="I261" s="13">
        <f>768*2845</f>
        <v>2184960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20"/>
      <c r="AA261" s="20"/>
      <c r="AB261" s="20"/>
      <c r="AC261" s="20"/>
      <c r="AD261" s="20"/>
    </row>
    <row r="262" spans="1:30" ht="15" customHeight="1">
      <c r="A262" s="27">
        <v>433</v>
      </c>
      <c r="B262" s="12" t="str">
        <f>"г. Череповец, ул. Ленина, д. 59"</f>
        <v>г. Череповец, ул. Ленина, д. 59</v>
      </c>
      <c r="C262" s="13">
        <f t="shared" si="5"/>
        <v>2891000</v>
      </c>
      <c r="D262" s="13"/>
      <c r="E262" s="13"/>
      <c r="F262" s="13"/>
      <c r="G262" s="13"/>
      <c r="H262" s="13"/>
      <c r="I262" s="13"/>
      <c r="J262" s="13"/>
      <c r="K262" s="13"/>
      <c r="L262" s="13">
        <v>826</v>
      </c>
      <c r="M262" s="13">
        <v>2891000</v>
      </c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20"/>
      <c r="AA262" s="20"/>
      <c r="AB262" s="20"/>
      <c r="AC262" s="20"/>
      <c r="AD262" s="20"/>
    </row>
    <row r="263" spans="1:30" ht="15" customHeight="1">
      <c r="A263" s="27">
        <v>434</v>
      </c>
      <c r="B263" s="12" t="str">
        <f>"г. Череповец, ул. Ленина, д. 76"</f>
        <v>г. Череповец, ул. Ленина, д. 76</v>
      </c>
      <c r="C263" s="13">
        <f t="shared" si="5"/>
        <v>699576</v>
      </c>
      <c r="D263" s="13"/>
      <c r="E263" s="13"/>
      <c r="F263" s="13">
        <v>699576</v>
      </c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20"/>
      <c r="AA263" s="20"/>
      <c r="AB263" s="20"/>
      <c r="AC263" s="20"/>
      <c r="AD263" s="20"/>
    </row>
    <row r="264" spans="1:30" ht="15" customHeight="1">
      <c r="A264" s="27">
        <v>435</v>
      </c>
      <c r="B264" s="12" t="str">
        <f>"г. Череповец, ул. Ленина, д. 78"</f>
        <v>г. Череповец, ул. Ленина, д. 78</v>
      </c>
      <c r="C264" s="13">
        <f t="shared" si="5"/>
        <v>2129840</v>
      </c>
      <c r="D264" s="13"/>
      <c r="E264" s="13">
        <v>2129840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20"/>
      <c r="AA264" s="20"/>
      <c r="AB264" s="20"/>
      <c r="AC264" s="20"/>
      <c r="AD264" s="20"/>
    </row>
    <row r="265" spans="1:31" ht="15" customHeight="1">
      <c r="A265" s="27">
        <v>436</v>
      </c>
      <c r="B265" s="12" t="s">
        <v>92</v>
      </c>
      <c r="C265" s="13">
        <f>D265+E265+F265+G265+H265+I265+K265+M265+O265+Q265+S265+T265+U265+V265+W265+X265+Y265</f>
        <v>12388002.84</v>
      </c>
      <c r="D265" s="13"/>
      <c r="E265" s="13"/>
      <c r="F265" s="13"/>
      <c r="G265" s="13"/>
      <c r="H265" s="13"/>
      <c r="I265" s="13"/>
      <c r="J265" s="13"/>
      <c r="K265" s="13"/>
      <c r="L265" s="13">
        <v>2938.2</v>
      </c>
      <c r="M265" s="13">
        <v>12388002.84</v>
      </c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20"/>
      <c r="AA265" s="20"/>
      <c r="AB265" s="20"/>
      <c r="AC265" s="20"/>
      <c r="AD265" s="20"/>
      <c r="AE265" s="21"/>
    </row>
    <row r="266" spans="1:30" ht="15" customHeight="1">
      <c r="A266" s="27">
        <v>437</v>
      </c>
      <c r="B266" s="12" t="str">
        <f>"г. Череповец, ул. Ломоносова, д. 12"</f>
        <v>г. Череповец, ул. Ломоносова, д. 12</v>
      </c>
      <c r="C266" s="13">
        <f>D266+E266+F266+G266+H266+I266+K266+M266+O266+Q266+S266++T266+U266+V266+W266+X266+Y266</f>
        <v>3000000</v>
      </c>
      <c r="D266" s="13"/>
      <c r="E266" s="13"/>
      <c r="F266" s="13"/>
      <c r="G266" s="13"/>
      <c r="H266" s="13"/>
      <c r="I266" s="13"/>
      <c r="J266" s="13">
        <v>1</v>
      </c>
      <c r="K266" s="13">
        <v>3000000</v>
      </c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20"/>
      <c r="AA266" s="20"/>
      <c r="AB266" s="20"/>
      <c r="AC266" s="20"/>
      <c r="AD266" s="20"/>
    </row>
    <row r="267" spans="1:30" ht="15" customHeight="1">
      <c r="A267" s="27">
        <v>438</v>
      </c>
      <c r="B267" s="12" t="str">
        <f>"г. Череповец, ул. Ломоносова, д. 16"</f>
        <v>г. Череповец, ул. Ломоносова, д. 16</v>
      </c>
      <c r="C267" s="13">
        <f>D267+E267+F267+G267+H267+I267+K267+M267+O267+Q267+S267++T267+U267+V267+W267+X267+Y267</f>
        <v>3000000</v>
      </c>
      <c r="D267" s="13"/>
      <c r="E267" s="13"/>
      <c r="F267" s="13"/>
      <c r="G267" s="13"/>
      <c r="H267" s="13"/>
      <c r="I267" s="13"/>
      <c r="J267" s="13">
        <v>1</v>
      </c>
      <c r="K267" s="13">
        <v>3000000</v>
      </c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20"/>
      <c r="AA267" s="20"/>
      <c r="AB267" s="20"/>
      <c r="AC267" s="20"/>
      <c r="AD267" s="20"/>
    </row>
    <row r="268" spans="1:30" ht="15" customHeight="1">
      <c r="A268" s="27">
        <v>439</v>
      </c>
      <c r="B268" s="12" t="str">
        <f>"г. Череповец, ул. Ленинградская, д. 16"</f>
        <v>г. Череповец, ул. Ленинградская, д. 16</v>
      </c>
      <c r="C268" s="13">
        <f>D268+E268+F268+G268+H268+I268+K268+M268+O268+Q268+S268++T268+U268+V268+W268+X268+Y268</f>
        <v>9000000</v>
      </c>
      <c r="D268" s="13"/>
      <c r="E268" s="13"/>
      <c r="F268" s="13"/>
      <c r="G268" s="13"/>
      <c r="H268" s="13"/>
      <c r="I268" s="13"/>
      <c r="J268" s="13">
        <v>3</v>
      </c>
      <c r="K268" s="13">
        <v>9000000</v>
      </c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20"/>
      <c r="AA268" s="20"/>
      <c r="AB268" s="20"/>
      <c r="AC268" s="20"/>
      <c r="AD268" s="20"/>
    </row>
    <row r="269" spans="1:30" ht="15" customHeight="1">
      <c r="A269" s="27">
        <v>440</v>
      </c>
      <c r="B269" s="12" t="str">
        <f>"г. Череповец, ул. Ломоносова, д. 32А"</f>
        <v>г. Череповец, ул. Ломоносова, д. 32А</v>
      </c>
      <c r="C269" s="13">
        <f t="shared" si="5"/>
        <v>1213504</v>
      </c>
      <c r="D269" s="13"/>
      <c r="E269" s="13"/>
      <c r="F269" s="13">
        <v>1213504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20"/>
      <c r="AA269" s="20"/>
      <c r="AB269" s="20"/>
      <c r="AC269" s="20"/>
      <c r="AD269" s="20"/>
    </row>
    <row r="270" spans="1:30" ht="15" customHeight="1">
      <c r="A270" s="27">
        <v>441</v>
      </c>
      <c r="B270" s="12" t="str">
        <f>"г. Череповец, ул. Ломоносова, д. 33"</f>
        <v>г. Череповец, ул. Ломоносова, д. 33</v>
      </c>
      <c r="C270" s="13">
        <f t="shared" si="5"/>
        <v>1295008</v>
      </c>
      <c r="D270" s="13"/>
      <c r="E270" s="13"/>
      <c r="F270" s="13">
        <v>1295008</v>
      </c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20"/>
      <c r="AA270" s="20"/>
      <c r="AB270" s="20"/>
      <c r="AC270" s="20"/>
      <c r="AD270" s="20"/>
    </row>
    <row r="271" spans="1:30" ht="15" customHeight="1">
      <c r="A271" s="27">
        <v>442</v>
      </c>
      <c r="B271" s="12" t="str">
        <f>"г. Череповец, ул. Любецкая, д. 23А"</f>
        <v>г. Череповец, ул. Любецкая, д. 23А</v>
      </c>
      <c r="C271" s="13">
        <f t="shared" si="5"/>
        <v>5941640</v>
      </c>
      <c r="D271" s="13"/>
      <c r="E271" s="13"/>
      <c r="F271" s="13"/>
      <c r="G271" s="13">
        <f>1796*730</f>
        <v>1311080</v>
      </c>
      <c r="H271" s="13">
        <f>2104*1065</f>
        <v>2240760</v>
      </c>
      <c r="I271" s="13">
        <f>2845*840</f>
        <v>2389800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20"/>
      <c r="AA271" s="20"/>
      <c r="AB271" s="20"/>
      <c r="AC271" s="20"/>
      <c r="AD271" s="20"/>
    </row>
    <row r="272" spans="1:30" ht="15" customHeight="1">
      <c r="A272" s="27">
        <v>443</v>
      </c>
      <c r="B272" s="19" t="s">
        <v>93</v>
      </c>
      <c r="C272" s="13">
        <f>D272+E272+F272+G272+H272+I272+K272+M272+O272+Q272+S272+T272+U272+V272+W272+X272+Y272+Z272+AA272+AB272+AC272+AD272</f>
        <v>1029000</v>
      </c>
      <c r="D272" s="13"/>
      <c r="E272" s="13"/>
      <c r="F272" s="13"/>
      <c r="G272" s="13"/>
      <c r="H272" s="13"/>
      <c r="I272" s="13"/>
      <c r="J272" s="13"/>
      <c r="K272" s="13"/>
      <c r="L272" s="13">
        <v>411.6</v>
      </c>
      <c r="M272" s="13">
        <v>1029000</v>
      </c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20"/>
      <c r="AA272" s="20"/>
      <c r="AB272" s="20"/>
      <c r="AC272" s="20"/>
      <c r="AD272" s="20"/>
    </row>
    <row r="273" spans="1:30" ht="15" customHeight="1">
      <c r="A273" s="27">
        <v>444</v>
      </c>
      <c r="B273" s="12" t="str">
        <f>"г. Череповец, ул. М.Горького, д. 51"</f>
        <v>г. Череповец, ул. М.Горького, д. 51</v>
      </c>
      <c r="C273" s="13">
        <f t="shared" si="5"/>
        <v>2099500</v>
      </c>
      <c r="D273" s="13"/>
      <c r="E273" s="13"/>
      <c r="F273" s="13"/>
      <c r="G273" s="13"/>
      <c r="H273" s="13"/>
      <c r="I273" s="13"/>
      <c r="J273" s="13"/>
      <c r="K273" s="13"/>
      <c r="L273" s="13">
        <v>839.8</v>
      </c>
      <c r="M273" s="13">
        <v>2099500</v>
      </c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20"/>
      <c r="AA273" s="20"/>
      <c r="AB273" s="20"/>
      <c r="AC273" s="20"/>
      <c r="AD273" s="20"/>
    </row>
    <row r="274" spans="1:30" ht="15" customHeight="1">
      <c r="A274" s="27">
        <v>445</v>
      </c>
      <c r="B274" s="12" t="str">
        <f>"г. Череповец, ул. М.Горького, д. 85А"</f>
        <v>г. Череповец, ул. М.Горького, д. 85А</v>
      </c>
      <c r="C274" s="13">
        <f t="shared" si="5"/>
        <v>2204000</v>
      </c>
      <c r="D274" s="13"/>
      <c r="E274" s="13"/>
      <c r="F274" s="13"/>
      <c r="G274" s="13"/>
      <c r="H274" s="13"/>
      <c r="I274" s="13"/>
      <c r="J274" s="13"/>
      <c r="K274" s="13"/>
      <c r="L274" s="13">
        <v>1102</v>
      </c>
      <c r="M274" s="13">
        <v>2204000</v>
      </c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20"/>
      <c r="AA274" s="20"/>
      <c r="AB274" s="20"/>
      <c r="AC274" s="20"/>
      <c r="AD274" s="20"/>
    </row>
    <row r="275" spans="1:30" ht="15" customHeight="1">
      <c r="A275" s="27">
        <v>446</v>
      </c>
      <c r="B275" s="12" t="str">
        <f>"г. Череповец, ул. М.Горького, д. 87"</f>
        <v>г. Череповец, ул. М.Горького, д. 87</v>
      </c>
      <c r="C275" s="13">
        <f t="shared" si="5"/>
        <v>1377760</v>
      </c>
      <c r="D275" s="13"/>
      <c r="E275" s="13">
        <v>1377760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20"/>
      <c r="AA275" s="20"/>
      <c r="AB275" s="20"/>
      <c r="AC275" s="20"/>
      <c r="AD275" s="20"/>
    </row>
    <row r="276" spans="1:30" ht="15" customHeight="1">
      <c r="A276" s="27">
        <v>447</v>
      </c>
      <c r="B276" s="12" t="str">
        <f>"г. Череповец, ул. М.Горького, д. 89"</f>
        <v>г. Череповец, ул. М.Горького, д. 89</v>
      </c>
      <c r="C276" s="13">
        <f t="shared" si="5"/>
        <v>2000000</v>
      </c>
      <c r="D276" s="13">
        <v>2000000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20"/>
      <c r="AA276" s="20"/>
      <c r="AB276" s="20"/>
      <c r="AC276" s="20"/>
      <c r="AD276" s="20"/>
    </row>
    <row r="277" spans="1:30" ht="15" customHeight="1">
      <c r="A277" s="27">
        <v>448</v>
      </c>
      <c r="B277" s="12" t="str">
        <f>"г. Череповец, ул. Менделеева, д. 1"</f>
        <v>г. Череповец, ул. Менделеева, д. 1</v>
      </c>
      <c r="C277" s="13">
        <f t="shared" si="5"/>
        <v>706368</v>
      </c>
      <c r="D277" s="13"/>
      <c r="E277" s="13"/>
      <c r="F277" s="13">
        <v>706368</v>
      </c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20"/>
      <c r="AA277" s="20"/>
      <c r="AB277" s="20"/>
      <c r="AC277" s="20"/>
      <c r="AD277" s="20"/>
    </row>
    <row r="278" spans="1:30" ht="15" customHeight="1">
      <c r="A278" s="27">
        <v>449</v>
      </c>
      <c r="B278" s="12" t="str">
        <f>"г. Череповец, ул. Менделеева, д. 5"</f>
        <v>г. Череповец, ул. Менделеева, д. 5</v>
      </c>
      <c r="C278" s="13">
        <f t="shared" si="5"/>
        <v>1018800</v>
      </c>
      <c r="D278" s="13"/>
      <c r="E278" s="13"/>
      <c r="F278" s="13">
        <v>1018800</v>
      </c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20"/>
      <c r="AA278" s="20"/>
      <c r="AB278" s="20"/>
      <c r="AC278" s="20"/>
      <c r="AD278" s="20"/>
    </row>
    <row r="279" spans="1:30" ht="15" customHeight="1">
      <c r="A279" s="27">
        <v>450</v>
      </c>
      <c r="B279" s="19" t="s">
        <v>94</v>
      </c>
      <c r="C279" s="13">
        <f t="shared" si="5"/>
        <v>3313666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>
        <v>1850</v>
      </c>
      <c r="Q279" s="13">
        <v>1470462</v>
      </c>
      <c r="R279" s="13"/>
      <c r="S279" s="13"/>
      <c r="T279" s="13"/>
      <c r="U279" s="13">
        <v>727296</v>
      </c>
      <c r="V279" s="13"/>
      <c r="W279" s="13"/>
      <c r="X279" s="13"/>
      <c r="Y279" s="13"/>
      <c r="Z279" s="20">
        <v>1115908</v>
      </c>
      <c r="AA279" s="20"/>
      <c r="AB279" s="20"/>
      <c r="AC279" s="20"/>
      <c r="AD279" s="20"/>
    </row>
    <row r="280" spans="1:30" ht="15" customHeight="1">
      <c r="A280" s="27">
        <v>451</v>
      </c>
      <c r="B280" s="19" t="s">
        <v>95</v>
      </c>
      <c r="C280" s="13">
        <f t="shared" si="5"/>
        <v>1843204</v>
      </c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>
        <v>727296</v>
      </c>
      <c r="V280" s="13"/>
      <c r="W280" s="13"/>
      <c r="X280" s="13"/>
      <c r="Y280" s="13"/>
      <c r="Z280" s="20">
        <v>1115908</v>
      </c>
      <c r="AA280" s="20"/>
      <c r="AB280" s="20"/>
      <c r="AC280" s="20"/>
      <c r="AD280" s="20"/>
    </row>
    <row r="281" spans="1:30" ht="15" customHeight="1">
      <c r="A281" s="27">
        <v>452</v>
      </c>
      <c r="B281" s="19" t="s">
        <v>96</v>
      </c>
      <c r="C281" s="13">
        <f>D281+E281+F281+G281+H281+I281+K281+M281+O281+Q281+S281+T281+U281+V281+W281+X281+Y281+Z281+AA281+AB281+AC281+AD281</f>
        <v>1375700</v>
      </c>
      <c r="D281" s="13"/>
      <c r="E281" s="13"/>
      <c r="F281" s="13"/>
      <c r="G281" s="13">
        <v>387217.6</v>
      </c>
      <c r="H281" s="13">
        <v>453622.4</v>
      </c>
      <c r="I281" s="13">
        <v>534860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20"/>
      <c r="AA281" s="20"/>
      <c r="AB281" s="20"/>
      <c r="AC281" s="20"/>
      <c r="AD281" s="20"/>
    </row>
    <row r="282" spans="1:30" ht="15" customHeight="1">
      <c r="A282" s="27">
        <v>453</v>
      </c>
      <c r="B282" s="12" t="str">
        <f>"г. Череповец, ул. Металлургов, д. 11"</f>
        <v>г. Череповец, ул. Металлургов, д. 11</v>
      </c>
      <c r="C282" s="13">
        <f t="shared" si="5"/>
        <v>379200</v>
      </c>
      <c r="D282" s="13"/>
      <c r="E282" s="13">
        <v>379200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20"/>
      <c r="AA282" s="20"/>
      <c r="AB282" s="20"/>
      <c r="AC282" s="20"/>
      <c r="AD282" s="20"/>
    </row>
    <row r="283" spans="1:30" ht="15" customHeight="1">
      <c r="A283" s="27">
        <v>454</v>
      </c>
      <c r="B283" s="12" t="str">
        <f>"г. Череповец, ул. Металлургов, д. 2"</f>
        <v>г. Череповец, ул. Металлургов, д. 2</v>
      </c>
      <c r="C283" s="13">
        <f t="shared" si="5"/>
        <v>5659712</v>
      </c>
      <c r="D283" s="13"/>
      <c r="E283" s="13"/>
      <c r="F283" s="13"/>
      <c r="G283" s="13">
        <f>600*1796</f>
        <v>1077600</v>
      </c>
      <c r="H283" s="13">
        <f>600*2104</f>
        <v>1262400</v>
      </c>
      <c r="I283" s="13">
        <f>650*2845</f>
        <v>1849250</v>
      </c>
      <c r="J283" s="13"/>
      <c r="K283" s="13"/>
      <c r="L283" s="13"/>
      <c r="M283" s="13"/>
      <c r="N283" s="13"/>
      <c r="O283" s="13"/>
      <c r="P283" s="13">
        <v>1850</v>
      </c>
      <c r="Q283" s="13">
        <v>1470462</v>
      </c>
      <c r="R283" s="13"/>
      <c r="S283" s="13"/>
      <c r="T283" s="13"/>
      <c r="U283" s="13"/>
      <c r="V283" s="13"/>
      <c r="W283" s="13"/>
      <c r="X283" s="13"/>
      <c r="Y283" s="13"/>
      <c r="Z283" s="20"/>
      <c r="AA283" s="20"/>
      <c r="AB283" s="20"/>
      <c r="AC283" s="20"/>
      <c r="AD283" s="20"/>
    </row>
    <row r="284" spans="1:30" ht="15" customHeight="1">
      <c r="A284" s="27">
        <v>455</v>
      </c>
      <c r="B284" s="12" t="str">
        <f>"г. Череповец, ул. Металлургов, д. 43"</f>
        <v>г. Череповец, ул. Металлургов, д. 43</v>
      </c>
      <c r="C284" s="13">
        <f t="shared" si="5"/>
        <v>3218904</v>
      </c>
      <c r="D284" s="13"/>
      <c r="E284" s="13"/>
      <c r="F284" s="13"/>
      <c r="G284" s="13">
        <f>1796*215.6</f>
        <v>387217.6</v>
      </c>
      <c r="H284" s="13">
        <f>2104*215.6</f>
        <v>453622.39999999997</v>
      </c>
      <c r="I284" s="13">
        <f>2845*188</f>
        <v>534860</v>
      </c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>
        <v>727296</v>
      </c>
      <c r="V284" s="13"/>
      <c r="W284" s="13"/>
      <c r="X284" s="13"/>
      <c r="Y284" s="13"/>
      <c r="Z284" s="20">
        <v>1115908</v>
      </c>
      <c r="AA284" s="20"/>
      <c r="AB284" s="20"/>
      <c r="AC284" s="20"/>
      <c r="AD284" s="20"/>
    </row>
    <row r="285" spans="1:30" ht="15" customHeight="1">
      <c r="A285" s="27">
        <v>456</v>
      </c>
      <c r="B285" s="12" t="str">
        <f>"г. Череповец, ул. Металлургов, д. 45"</f>
        <v>г. Череповец, ул. Металлургов, д. 45</v>
      </c>
      <c r="C285" s="13">
        <f t="shared" si="5"/>
        <v>3673754</v>
      </c>
      <c r="D285" s="13"/>
      <c r="E285" s="13"/>
      <c r="F285" s="13"/>
      <c r="G285" s="13">
        <f>1796*287</f>
        <v>515452</v>
      </c>
      <c r="H285" s="13">
        <f>2104*287</f>
        <v>603848</v>
      </c>
      <c r="I285" s="13">
        <f>2845*250</f>
        <v>711250</v>
      </c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>
        <v>727296</v>
      </c>
      <c r="V285" s="13"/>
      <c r="W285" s="13"/>
      <c r="X285" s="13"/>
      <c r="Y285" s="13"/>
      <c r="Z285" s="20">
        <v>1115908</v>
      </c>
      <c r="AA285" s="20"/>
      <c r="AB285" s="20"/>
      <c r="AC285" s="20"/>
      <c r="AD285" s="20"/>
    </row>
    <row r="286" spans="1:30" ht="15" customHeight="1">
      <c r="A286" s="27">
        <v>457</v>
      </c>
      <c r="B286" s="12" t="str">
        <f>"г. Череповец, ул. Металлургов, д. 46"</f>
        <v>г. Череповец, ул. Металлургов, д. 46</v>
      </c>
      <c r="C286" s="13">
        <f t="shared" si="5"/>
        <v>1024200</v>
      </c>
      <c r="D286" s="13"/>
      <c r="E286" s="13"/>
      <c r="F286" s="13"/>
      <c r="G286" s="13"/>
      <c r="H286" s="13"/>
      <c r="I286" s="13">
        <f>2845*360</f>
        <v>1024200</v>
      </c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20"/>
      <c r="AA286" s="20"/>
      <c r="AB286" s="20"/>
      <c r="AC286" s="20"/>
      <c r="AD286" s="20"/>
    </row>
    <row r="287" spans="1:30" ht="15" customHeight="1">
      <c r="A287" s="27">
        <v>458</v>
      </c>
      <c r="B287" s="19" t="s">
        <v>97</v>
      </c>
      <c r="C287" s="13">
        <f>D287+E287+F287+G287+H287+I287+K287+M287+O287+Q287+S287+T287+U287+V287+W287+X287+Y287+Z287+AA287+AB287+AC287+AD287</f>
        <v>1843204</v>
      </c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>
        <v>727296</v>
      </c>
      <c r="V287" s="13"/>
      <c r="W287" s="13"/>
      <c r="X287" s="13"/>
      <c r="Y287" s="13"/>
      <c r="Z287" s="20">
        <v>1115908</v>
      </c>
      <c r="AA287" s="20"/>
      <c r="AB287" s="20"/>
      <c r="AC287" s="20"/>
      <c r="AD287" s="20"/>
    </row>
    <row r="288" spans="1:30" ht="15" customHeight="1">
      <c r="A288" s="27">
        <v>459</v>
      </c>
      <c r="B288" s="12" t="str">
        <f>"г. Череповец, ул. Металлургов, д. 59"</f>
        <v>г. Череповец, ул. Металлургов, д. 59</v>
      </c>
      <c r="C288" s="13">
        <f t="shared" si="5"/>
        <v>3094564</v>
      </c>
      <c r="D288" s="13"/>
      <c r="E288" s="13">
        <v>1251360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>
        <v>727296</v>
      </c>
      <c r="V288" s="13"/>
      <c r="W288" s="13"/>
      <c r="X288" s="13"/>
      <c r="Y288" s="13"/>
      <c r="Z288" s="20">
        <v>1115908</v>
      </c>
      <c r="AA288" s="20"/>
      <c r="AB288" s="20"/>
      <c r="AC288" s="20"/>
      <c r="AD288" s="20"/>
    </row>
    <row r="289" spans="1:30" ht="15" customHeight="1">
      <c r="A289" s="27">
        <v>460</v>
      </c>
      <c r="B289" s="12" t="str">
        <f>"г. Череповец, ул. Металлургов, д. 65"</f>
        <v>г. Череповец, ул. Металлургов, д. 65</v>
      </c>
      <c r="C289" s="13">
        <f t="shared" si="5"/>
        <v>3898468</v>
      </c>
      <c r="D289" s="13"/>
      <c r="E289" s="13">
        <v>2055264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>
        <v>727296</v>
      </c>
      <c r="V289" s="13"/>
      <c r="W289" s="13"/>
      <c r="X289" s="13"/>
      <c r="Y289" s="13"/>
      <c r="Z289" s="20">
        <v>1115908</v>
      </c>
      <c r="AA289" s="20"/>
      <c r="AB289" s="20"/>
      <c r="AC289" s="20"/>
      <c r="AD289" s="20"/>
    </row>
    <row r="290" spans="1:30" ht="15" customHeight="1">
      <c r="A290" s="27">
        <v>461</v>
      </c>
      <c r="B290" s="19" t="s">
        <v>98</v>
      </c>
      <c r="C290" s="13">
        <f>D290+E290+F290+G290+H290+I290+K290+M290+O290+Q290+S290+T290+U290+V290+W290+X290+Y290+Z290+AA290+AB290+AC290+AD290</f>
        <v>1843204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>
        <v>727296</v>
      </c>
      <c r="V290" s="13"/>
      <c r="W290" s="13"/>
      <c r="X290" s="13"/>
      <c r="Y290" s="13"/>
      <c r="Z290" s="20">
        <v>1115908</v>
      </c>
      <c r="AA290" s="20"/>
      <c r="AB290" s="20"/>
      <c r="AC290" s="20"/>
      <c r="AD290" s="20"/>
    </row>
    <row r="291" spans="1:30" ht="15" customHeight="1">
      <c r="A291" s="27">
        <v>462</v>
      </c>
      <c r="B291" s="12" t="str">
        <f>"г. Череповец, ул. Монтклер, д. 15"</f>
        <v>г. Череповец, ул. Монтклер, д. 15</v>
      </c>
      <c r="C291" s="13">
        <f t="shared" si="5"/>
        <v>4958000</v>
      </c>
      <c r="D291" s="13"/>
      <c r="E291" s="13"/>
      <c r="F291" s="13"/>
      <c r="G291" s="13"/>
      <c r="H291" s="13"/>
      <c r="I291" s="13"/>
      <c r="J291" s="13"/>
      <c r="K291" s="13"/>
      <c r="L291" s="13">
        <v>2479</v>
      </c>
      <c r="M291" s="13">
        <v>4958000</v>
      </c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20"/>
      <c r="AA291" s="20"/>
      <c r="AB291" s="20"/>
      <c r="AC291" s="20"/>
      <c r="AD291" s="20"/>
    </row>
    <row r="292" spans="1:31" ht="15" customHeight="1">
      <c r="A292" s="27">
        <v>463</v>
      </c>
      <c r="B292" s="12" t="str">
        <f>"г. Череповец, ул. Моченкова, д. 14А"</f>
        <v>г. Череповец, ул. Моченкова, д. 14А</v>
      </c>
      <c r="C292" s="13">
        <f>D292+E292+F292+G292+H292+I292+K292+M292+O292+Q292+S292+T292+U292+V292+W292+X292+Y292</f>
        <v>9724509.8</v>
      </c>
      <c r="D292" s="13"/>
      <c r="E292" s="13"/>
      <c r="F292" s="13"/>
      <c r="G292" s="13"/>
      <c r="H292" s="13"/>
      <c r="I292" s="13"/>
      <c r="J292" s="13">
        <v>5</v>
      </c>
      <c r="K292" s="13">
        <v>9724509.8</v>
      </c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20"/>
      <c r="AA292" s="20"/>
      <c r="AB292" s="20"/>
      <c r="AC292" s="20"/>
      <c r="AD292" s="20"/>
      <c r="AE292" s="21"/>
    </row>
    <row r="293" spans="1:30" ht="15" customHeight="1">
      <c r="A293" s="27">
        <v>464</v>
      </c>
      <c r="B293" s="12" t="str">
        <f>"г. Череповец, ул. Набережная, д. 47"</f>
        <v>г. Череповец, ул. Набережная, д. 47</v>
      </c>
      <c r="C293" s="13">
        <f t="shared" si="5"/>
        <v>1200000</v>
      </c>
      <c r="D293" s="13">
        <v>1200000</v>
      </c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20"/>
      <c r="AA293" s="20"/>
      <c r="AB293" s="20"/>
      <c r="AC293" s="20"/>
      <c r="AD293" s="20"/>
    </row>
    <row r="294" spans="1:31" ht="15" customHeight="1">
      <c r="A294" s="27">
        <v>465</v>
      </c>
      <c r="B294" s="12" t="str">
        <f>"г. Череповец, ул. Набережная, д. 53"</f>
        <v>г. Череповец, ул. Набережная, д. 53</v>
      </c>
      <c r="C294" s="13">
        <f>D294+E294+F294+G294+H294+I294+K294+M294+O294+Q294+S294+T294+U294+V294+W294+X294+Y294</f>
        <v>11509113.48</v>
      </c>
      <c r="D294" s="13"/>
      <c r="E294" s="13"/>
      <c r="F294" s="13"/>
      <c r="G294" s="13"/>
      <c r="H294" s="13"/>
      <c r="I294" s="13"/>
      <c r="J294" s="13">
        <v>6</v>
      </c>
      <c r="K294" s="13">
        <v>11509113.48</v>
      </c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20"/>
      <c r="AA294" s="20"/>
      <c r="AB294" s="20"/>
      <c r="AC294" s="20"/>
      <c r="AD294" s="20"/>
      <c r="AE294" s="21"/>
    </row>
    <row r="295" spans="1:31" ht="15" customHeight="1">
      <c r="A295" s="27">
        <v>466</v>
      </c>
      <c r="B295" s="12" t="str">
        <f>"г. Череповец, ул. Набережная, д. 57"</f>
        <v>г. Череповец, ул. Набережная, д. 57</v>
      </c>
      <c r="C295" s="13">
        <f>D295+E295+F295+G295+H295+I295+K295+M295+O295+Q295+S295+T295+U295+V295+W295+X295+Y295</f>
        <v>3889803.92</v>
      </c>
      <c r="D295" s="13"/>
      <c r="E295" s="13"/>
      <c r="F295" s="13"/>
      <c r="G295" s="13"/>
      <c r="H295" s="13"/>
      <c r="I295" s="13"/>
      <c r="J295" s="13">
        <v>2</v>
      </c>
      <c r="K295" s="13">
        <v>3889803.92</v>
      </c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20"/>
      <c r="AA295" s="20"/>
      <c r="AB295" s="20"/>
      <c r="AC295" s="20"/>
      <c r="AD295" s="20"/>
      <c r="AE295" s="21"/>
    </row>
    <row r="296" spans="1:30" ht="15" customHeight="1">
      <c r="A296" s="27">
        <v>467</v>
      </c>
      <c r="B296" s="12" t="str">
        <f>"г. Череповец, ул. Набережная, д. 61"</f>
        <v>г. Череповец, ул. Набережная, д. 61</v>
      </c>
      <c r="C296" s="13">
        <f aca="true" t="shared" si="6" ref="C296:C302">D296+E296+F296+G296+H296+I296+K296+M296+O296+Q296+S296++T296+U296+V296+W296+X296+Y296</f>
        <v>760000</v>
      </c>
      <c r="D296" s="13">
        <v>760000</v>
      </c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20"/>
      <c r="AA296" s="20"/>
      <c r="AB296" s="20"/>
      <c r="AC296" s="20"/>
      <c r="AD296" s="20"/>
    </row>
    <row r="297" spans="1:30" ht="15" customHeight="1">
      <c r="A297" s="27">
        <v>468</v>
      </c>
      <c r="B297" s="12" t="str">
        <f>"г. Череповец, ул. Наседкина, д. 12, корп.1"</f>
        <v>г. Череповец, ул. Наседкина, д. 12, корп.1</v>
      </c>
      <c r="C297" s="13">
        <f t="shared" si="6"/>
        <v>4425600</v>
      </c>
      <c r="D297" s="13"/>
      <c r="E297" s="13"/>
      <c r="F297" s="13"/>
      <c r="G297" s="13"/>
      <c r="H297" s="13"/>
      <c r="I297" s="13"/>
      <c r="J297" s="13"/>
      <c r="K297" s="13"/>
      <c r="L297" s="13">
        <v>2212.8</v>
      </c>
      <c r="M297" s="13">
        <v>4425600</v>
      </c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20"/>
      <c r="AA297" s="20"/>
      <c r="AB297" s="20"/>
      <c r="AC297" s="20"/>
      <c r="AD297" s="20"/>
    </row>
    <row r="298" spans="1:30" ht="15" customHeight="1">
      <c r="A298" s="27">
        <v>469</v>
      </c>
      <c r="B298" s="12" t="str">
        <f>"г. Череповец, ул. Наседкина, д. 22"</f>
        <v>г. Череповец, ул. Наседкина, д. 22</v>
      </c>
      <c r="C298" s="13">
        <f t="shared" si="6"/>
        <v>4430000</v>
      </c>
      <c r="D298" s="13"/>
      <c r="E298" s="13"/>
      <c r="F298" s="13"/>
      <c r="G298" s="13"/>
      <c r="H298" s="13"/>
      <c r="I298" s="13"/>
      <c r="J298" s="13"/>
      <c r="K298" s="13"/>
      <c r="L298" s="13">
        <v>2215</v>
      </c>
      <c r="M298" s="13">
        <v>4430000</v>
      </c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20"/>
      <c r="AA298" s="20"/>
      <c r="AB298" s="20"/>
      <c r="AC298" s="20"/>
      <c r="AD298" s="20"/>
    </row>
    <row r="299" spans="1:30" ht="15" customHeight="1">
      <c r="A299" s="27">
        <v>470</v>
      </c>
      <c r="B299" s="12" t="str">
        <f>"г. Череповец, ул. Новая Школьная, д. 1"</f>
        <v>г. Череповец, ул. Новая Школьная, д. 1</v>
      </c>
      <c r="C299" s="13">
        <f t="shared" si="6"/>
        <v>7786350</v>
      </c>
      <c r="D299" s="13"/>
      <c r="E299" s="13"/>
      <c r="F299" s="13"/>
      <c r="G299" s="13">
        <f>1796*1712</f>
        <v>3074752</v>
      </c>
      <c r="H299" s="13">
        <f>2104*1712</f>
        <v>3602048</v>
      </c>
      <c r="I299" s="13">
        <f>2845*390</f>
        <v>1109550</v>
      </c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20"/>
      <c r="AA299" s="20"/>
      <c r="AB299" s="20"/>
      <c r="AC299" s="20"/>
      <c r="AD299" s="20"/>
    </row>
    <row r="300" spans="1:30" ht="15" customHeight="1">
      <c r="A300" s="27">
        <v>471</v>
      </c>
      <c r="B300" s="12" t="str">
        <f>"г. Череповец, ул. Новая Школьная, д. 2"</f>
        <v>г. Череповец, ул. Новая Школьная, д. 2</v>
      </c>
      <c r="C300" s="13">
        <f t="shared" si="6"/>
        <v>3032500</v>
      </c>
      <c r="D300" s="13"/>
      <c r="E300" s="13"/>
      <c r="F300" s="13"/>
      <c r="G300" s="13"/>
      <c r="H300" s="13"/>
      <c r="I300" s="13"/>
      <c r="J300" s="13"/>
      <c r="K300" s="13"/>
      <c r="L300" s="13">
        <v>1213</v>
      </c>
      <c r="M300" s="13">
        <v>3032500</v>
      </c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20"/>
      <c r="AA300" s="20"/>
      <c r="AB300" s="20"/>
      <c r="AC300" s="20"/>
      <c r="AD300" s="20"/>
    </row>
    <row r="301" spans="1:30" ht="15" customHeight="1">
      <c r="A301" s="27">
        <v>472</v>
      </c>
      <c r="B301" s="12" t="str">
        <f>"г. Череповец, ул. Новая Школьная, д. 3"</f>
        <v>г. Череповец, ул. Новая Школьная, д. 3</v>
      </c>
      <c r="C301" s="13">
        <f t="shared" si="6"/>
        <v>7786350</v>
      </c>
      <c r="D301" s="13"/>
      <c r="E301" s="13"/>
      <c r="F301" s="13"/>
      <c r="G301" s="13">
        <f>1796*1712</f>
        <v>3074752</v>
      </c>
      <c r="H301" s="13">
        <f>2104*1712</f>
        <v>3602048</v>
      </c>
      <c r="I301" s="13">
        <f>2845*390</f>
        <v>1109550</v>
      </c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20"/>
      <c r="AA301" s="20"/>
      <c r="AB301" s="20"/>
      <c r="AC301" s="20"/>
      <c r="AD301" s="20"/>
    </row>
    <row r="302" spans="1:30" ht="15" customHeight="1">
      <c r="A302" s="27">
        <v>473</v>
      </c>
      <c r="B302" s="12" t="str">
        <f>"г. Череповец, ул. Олимпийская, д. 3"</f>
        <v>г. Череповец, ул. Олимпийская, д. 3</v>
      </c>
      <c r="C302" s="13">
        <f t="shared" si="6"/>
        <v>1315605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>
        <v>1315605</v>
      </c>
      <c r="V302" s="13"/>
      <c r="W302" s="13"/>
      <c r="X302" s="13"/>
      <c r="Y302" s="13"/>
      <c r="Z302" s="20"/>
      <c r="AA302" s="20"/>
      <c r="AB302" s="20"/>
      <c r="AC302" s="20"/>
      <c r="AD302" s="20"/>
    </row>
    <row r="303" spans="1:30" ht="15" customHeight="1">
      <c r="A303" s="27">
        <v>474</v>
      </c>
      <c r="B303" s="12" t="str">
        <f>"г. Череповец, ул. Олимпийская, д. 7"</f>
        <v>г. Череповец, ул. Олимпийская, д. 7</v>
      </c>
      <c r="C303" s="13">
        <f aca="true" t="shared" si="7" ref="C303:C329">D303+E303+F303+G303+H303+I303+K303+M303+O303+Q303+S303++T303+U303+V303+W303+X303+Y303</f>
        <v>438535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>
        <v>438535</v>
      </c>
      <c r="V303" s="13"/>
      <c r="W303" s="13"/>
      <c r="X303" s="13"/>
      <c r="Y303" s="13"/>
      <c r="Z303" s="20"/>
      <c r="AA303" s="20"/>
      <c r="AB303" s="20"/>
      <c r="AC303" s="20"/>
      <c r="AD303" s="20"/>
    </row>
    <row r="304" spans="1:30" ht="15" customHeight="1">
      <c r="A304" s="27">
        <v>475</v>
      </c>
      <c r="B304" s="12" t="str">
        <f>"г. Череповец, ул. Олимпийская, д. 9"</f>
        <v>г. Череповец, ул. Олимпийская, д. 9</v>
      </c>
      <c r="C304" s="13">
        <f t="shared" si="7"/>
        <v>11674482.32</v>
      </c>
      <c r="D304" s="13"/>
      <c r="E304" s="13"/>
      <c r="F304" s="13"/>
      <c r="G304" s="13">
        <f>1796*638</f>
        <v>1145848</v>
      </c>
      <c r="H304" s="13">
        <f>2104*638</f>
        <v>1342352</v>
      </c>
      <c r="I304" s="13">
        <f>2845*532</f>
        <v>1513540</v>
      </c>
      <c r="J304" s="13">
        <v>4</v>
      </c>
      <c r="K304" s="13">
        <v>7672742.32</v>
      </c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20"/>
      <c r="AA304" s="20"/>
      <c r="AB304" s="20"/>
      <c r="AC304" s="20"/>
      <c r="AD304" s="20"/>
    </row>
    <row r="305" spans="1:30" ht="15" customHeight="1">
      <c r="A305" s="27">
        <v>476</v>
      </c>
      <c r="B305" s="12" t="str">
        <f>"г. Череповец, ул. Олимпийская, д. 11"</f>
        <v>г. Череповец, ул. Олимпийская, д. 11</v>
      </c>
      <c r="C305" s="13">
        <f>D305+E305+F305+G305+H305+I305+K305+M305+O305+Q305+S305++T305+U305+V305+W305+X305+Y305</f>
        <v>17049411.759999998</v>
      </c>
      <c r="D305" s="13"/>
      <c r="E305" s="13"/>
      <c r="F305" s="13"/>
      <c r="G305" s="13"/>
      <c r="H305" s="13"/>
      <c r="I305" s="13"/>
      <c r="J305" s="13">
        <v>6</v>
      </c>
      <c r="K305" s="13">
        <v>11669411.76</v>
      </c>
      <c r="L305" s="13">
        <v>2690</v>
      </c>
      <c r="M305" s="13">
        <v>5380000</v>
      </c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20"/>
      <c r="AA305" s="20"/>
      <c r="AB305" s="20"/>
      <c r="AC305" s="20"/>
      <c r="AD305" s="20"/>
    </row>
    <row r="306" spans="1:31" s="34" customFormat="1" ht="15" customHeight="1">
      <c r="A306" s="27">
        <v>477</v>
      </c>
      <c r="B306" s="12" t="str">
        <f>"г. Череповец, ул. Олимпийская, д. 13"</f>
        <v>г. Череповец, ул. Олимпийская, д. 13</v>
      </c>
      <c r="C306" s="13">
        <f>D306+E306+F306+G306+H306+I306+K306+M306+O306+Q306+S306+T306+U306+V306+W306+X306+Y306</f>
        <v>17263670.22</v>
      </c>
      <c r="D306" s="30"/>
      <c r="E306" s="30"/>
      <c r="F306" s="30"/>
      <c r="G306" s="30"/>
      <c r="H306" s="30"/>
      <c r="I306" s="30"/>
      <c r="J306" s="13">
        <v>9</v>
      </c>
      <c r="K306" s="13">
        <v>17263670.22</v>
      </c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1"/>
      <c r="AA306" s="31"/>
      <c r="AB306" s="31"/>
      <c r="AC306" s="31"/>
      <c r="AD306" s="31"/>
      <c r="AE306" s="33"/>
    </row>
    <row r="307" spans="1:31" ht="15" customHeight="1">
      <c r="A307" s="27">
        <v>478</v>
      </c>
      <c r="B307" s="19" t="s">
        <v>99</v>
      </c>
      <c r="C307" s="13">
        <f>D307+E307+F307+G307+H307+I307+K307+M307+O307+Q307+S307+T307+U307+V307+W307+X307+Y307</f>
        <v>2366206.8</v>
      </c>
      <c r="D307" s="13"/>
      <c r="E307" s="13"/>
      <c r="F307" s="13"/>
      <c r="G307" s="13"/>
      <c r="H307" s="13"/>
      <c r="I307" s="13"/>
      <c r="J307" s="13">
        <v>1</v>
      </c>
      <c r="K307" s="13">
        <v>2366206.8</v>
      </c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20"/>
      <c r="AA307" s="20"/>
      <c r="AB307" s="20"/>
      <c r="AC307" s="20"/>
      <c r="AD307" s="20"/>
      <c r="AE307" s="21"/>
    </row>
    <row r="308" spans="1:30" ht="15" customHeight="1">
      <c r="A308" s="27">
        <v>479</v>
      </c>
      <c r="B308" s="12" t="str">
        <f>"г. Череповец, ул. Первомайская, д. 15"</f>
        <v>г. Череповец, ул. Первомайская, д. 15</v>
      </c>
      <c r="C308" s="13">
        <f t="shared" si="7"/>
        <v>9024021</v>
      </c>
      <c r="D308" s="13"/>
      <c r="E308" s="13"/>
      <c r="F308" s="13"/>
      <c r="G308" s="13">
        <f>1214*1796</f>
        <v>2180344</v>
      </c>
      <c r="H308" s="13">
        <f>1553*2104</f>
        <v>3267512</v>
      </c>
      <c r="I308" s="13">
        <f>1257*2845</f>
        <v>3576165</v>
      </c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20"/>
      <c r="AA308" s="20"/>
      <c r="AB308" s="20"/>
      <c r="AC308" s="20"/>
      <c r="AD308" s="20"/>
    </row>
    <row r="309" spans="1:30" ht="15" customHeight="1">
      <c r="A309" s="27">
        <v>480</v>
      </c>
      <c r="B309" s="12" t="str">
        <f>"г. Череповец, ул. Первомайская, д. 20"</f>
        <v>г. Череповец, ул. Первомайская, д. 20</v>
      </c>
      <c r="C309" s="13">
        <f t="shared" si="7"/>
        <v>1080000</v>
      </c>
      <c r="D309" s="13">
        <v>1080000</v>
      </c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0"/>
      <c r="AA309" s="20"/>
      <c r="AB309" s="20"/>
      <c r="AC309" s="20"/>
      <c r="AD309" s="20"/>
    </row>
    <row r="310" spans="1:30" ht="15" customHeight="1">
      <c r="A310" s="27">
        <v>481</v>
      </c>
      <c r="B310" s="12" t="str">
        <f>"г. Череповец, ул. Первомайская, д. 3А"</f>
        <v>г. Череповец, ул. Первомайская, д. 3А</v>
      </c>
      <c r="C310" s="13">
        <f t="shared" si="7"/>
        <v>3882000</v>
      </c>
      <c r="D310" s="13"/>
      <c r="E310" s="13"/>
      <c r="F310" s="13"/>
      <c r="G310" s="13"/>
      <c r="H310" s="13"/>
      <c r="I310" s="13"/>
      <c r="J310" s="13"/>
      <c r="K310" s="13"/>
      <c r="L310" s="13">
        <v>1941</v>
      </c>
      <c r="M310" s="13">
        <v>3882000</v>
      </c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20"/>
      <c r="AA310" s="20"/>
      <c r="AB310" s="20"/>
      <c r="AC310" s="20"/>
      <c r="AD310" s="20"/>
    </row>
    <row r="311" spans="1:30" ht="15" customHeight="1">
      <c r="A311" s="27">
        <v>482</v>
      </c>
      <c r="B311" s="12" t="str">
        <f>"г. Череповец, ул. Сталеваров, д. 58А"</f>
        <v>г. Череповец, ул. Сталеваров, д. 58А</v>
      </c>
      <c r="C311" s="13">
        <f t="shared" si="7"/>
        <v>350920</v>
      </c>
      <c r="D311" s="13"/>
      <c r="E311" s="13"/>
      <c r="F311" s="13">
        <v>350920</v>
      </c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20"/>
      <c r="AA311" s="20"/>
      <c r="AB311" s="20"/>
      <c r="AC311" s="20"/>
      <c r="AD311" s="20"/>
    </row>
    <row r="312" spans="1:30" ht="15" customHeight="1">
      <c r="A312" s="27">
        <v>483</v>
      </c>
      <c r="B312" s="12" t="str">
        <f>"г. Череповец, ул. Сталеваров, д. 70"</f>
        <v>г. Череповец, ул. Сталеваров, д. 70</v>
      </c>
      <c r="C312" s="13">
        <f t="shared" si="7"/>
        <v>561472</v>
      </c>
      <c r="D312" s="13"/>
      <c r="E312" s="13"/>
      <c r="F312" s="13">
        <v>561472</v>
      </c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20"/>
      <c r="AA312" s="20"/>
      <c r="AB312" s="20"/>
      <c r="AC312" s="20"/>
      <c r="AD312" s="20"/>
    </row>
    <row r="313" spans="1:31" ht="15" customHeight="1">
      <c r="A313" s="27">
        <v>484</v>
      </c>
      <c r="B313" s="12" t="str">
        <f>"г. Череповец, ул. Сталеваров, д. 80"</f>
        <v>г. Череповец, ул. Сталеваров, д. 80</v>
      </c>
      <c r="C313" s="13">
        <f>D313+E313+F313+G313+H313+I313+K313+M313+O313+Q313+S313+T313+U313+V313+W313+X313+Y313</f>
        <v>6517175</v>
      </c>
      <c r="D313" s="13"/>
      <c r="E313" s="13"/>
      <c r="F313" s="13"/>
      <c r="G313" s="13"/>
      <c r="H313" s="13"/>
      <c r="I313" s="13"/>
      <c r="J313" s="13"/>
      <c r="K313" s="13"/>
      <c r="L313" s="13">
        <v>835</v>
      </c>
      <c r="M313" s="13">
        <f>835*7805</f>
        <v>6517175</v>
      </c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20"/>
      <c r="AA313" s="20"/>
      <c r="AB313" s="20"/>
      <c r="AC313" s="20"/>
      <c r="AD313" s="20"/>
      <c r="AE313" s="21"/>
    </row>
    <row r="314" spans="1:30" ht="15" customHeight="1">
      <c r="A314" s="27">
        <v>485</v>
      </c>
      <c r="B314" s="12" t="str">
        <f>"г. Череповец, ул. Тимохина, д. 10"</f>
        <v>г. Череповец, ул. Тимохина, д. 10</v>
      </c>
      <c r="C314" s="13">
        <f t="shared" si="7"/>
        <v>11230007.84</v>
      </c>
      <c r="D314" s="13"/>
      <c r="E314" s="13"/>
      <c r="F314" s="13"/>
      <c r="G314" s="13"/>
      <c r="H314" s="13"/>
      <c r="I314" s="13"/>
      <c r="J314" s="13">
        <v>4</v>
      </c>
      <c r="K314" s="13">
        <v>7779607.84</v>
      </c>
      <c r="L314" s="13">
        <v>1725.2</v>
      </c>
      <c r="M314" s="13">
        <v>3450400</v>
      </c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20"/>
      <c r="AA314" s="20"/>
      <c r="AB314" s="20"/>
      <c r="AC314" s="20"/>
      <c r="AD314" s="20"/>
    </row>
    <row r="315" spans="1:30" ht="15" customHeight="1">
      <c r="A315" s="27">
        <v>486</v>
      </c>
      <c r="B315" s="12" t="str">
        <f>"г. Череповец, ул. Устюженская, д. 22"</f>
        <v>г. Череповец, ул. Устюженская, д. 22</v>
      </c>
      <c r="C315" s="13">
        <f t="shared" si="7"/>
        <v>1313120</v>
      </c>
      <c r="D315" s="13"/>
      <c r="E315" s="13"/>
      <c r="F315" s="13">
        <v>1313120</v>
      </c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20"/>
      <c r="AA315" s="20"/>
      <c r="AB315" s="20"/>
      <c r="AC315" s="20"/>
      <c r="AD315" s="20"/>
    </row>
    <row r="316" spans="1:30" ht="15" customHeight="1">
      <c r="A316" s="27">
        <v>487</v>
      </c>
      <c r="B316" s="12" t="str">
        <f>"г. Череповец, ул. Устюженская, д. 24"</f>
        <v>г. Череповец, ул. Устюженская, д. 24</v>
      </c>
      <c r="C316" s="13">
        <f t="shared" si="7"/>
        <v>996160</v>
      </c>
      <c r="D316" s="13"/>
      <c r="E316" s="13"/>
      <c r="F316" s="13">
        <v>996160</v>
      </c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20"/>
      <c r="AA316" s="20"/>
      <c r="AB316" s="20"/>
      <c r="AC316" s="20"/>
      <c r="AD316" s="20"/>
    </row>
    <row r="317" spans="1:30" ht="15" customHeight="1">
      <c r="A317" s="27">
        <v>488</v>
      </c>
      <c r="B317" s="12" t="str">
        <f>"г. Череповец, ул. Устюженская, д. 26"</f>
        <v>г. Череповец, ул. Устюженская, д. 26</v>
      </c>
      <c r="C317" s="13">
        <f t="shared" si="7"/>
        <v>1541784</v>
      </c>
      <c r="D317" s="13"/>
      <c r="E317" s="13"/>
      <c r="F317" s="13">
        <v>1541784</v>
      </c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20"/>
      <c r="AA317" s="20"/>
      <c r="AB317" s="20"/>
      <c r="AC317" s="20"/>
      <c r="AD317" s="20"/>
    </row>
    <row r="318" spans="1:31" s="34" customFormat="1" ht="15" customHeight="1">
      <c r="A318" s="27">
        <v>489</v>
      </c>
      <c r="B318" s="12" t="str">
        <f>"г. Череповец, ул. Химиков, д. 28"</f>
        <v>г. Череповец, ул. Химиков, д. 28</v>
      </c>
      <c r="C318" s="13">
        <f>D318+E318+F318+G318+H318+I318+K318+M318+O318+Q318+S318+T318+U318+V318+W318+X318+Y318</f>
        <v>5834705.88</v>
      </c>
      <c r="D318" s="30"/>
      <c r="E318" s="30"/>
      <c r="F318" s="30"/>
      <c r="G318" s="30"/>
      <c r="H318" s="30"/>
      <c r="I318" s="30"/>
      <c r="J318" s="13">
        <v>3</v>
      </c>
      <c r="K318" s="13">
        <v>5834705.88</v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1"/>
      <c r="AA318" s="31"/>
      <c r="AB318" s="31"/>
      <c r="AC318" s="31"/>
      <c r="AD318" s="31"/>
      <c r="AE318" s="33"/>
    </row>
    <row r="319" spans="1:31" ht="15" customHeight="1">
      <c r="A319" s="27">
        <v>490</v>
      </c>
      <c r="B319" s="12" t="str">
        <f>"г. Череповец, ул. Химиков, д. 30"</f>
        <v>г. Череповец, ул. Химиков, д. 30</v>
      </c>
      <c r="C319" s="13">
        <f>D319+E319+F319+G319+H319+I319+K319+M319+O319+Q319+S319+T319+U319+V319+W319+X319+Y319</f>
        <v>7779607.84</v>
      </c>
      <c r="D319" s="13"/>
      <c r="E319" s="13"/>
      <c r="F319" s="13"/>
      <c r="G319" s="13"/>
      <c r="H319" s="13"/>
      <c r="I319" s="13"/>
      <c r="J319" s="13">
        <v>4</v>
      </c>
      <c r="K319" s="13">
        <v>7779607.84</v>
      </c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20"/>
      <c r="AA319" s="20"/>
      <c r="AB319" s="20"/>
      <c r="AC319" s="20"/>
      <c r="AD319" s="20"/>
      <c r="AE319" s="21"/>
    </row>
    <row r="320" spans="1:30" ht="15" customHeight="1">
      <c r="A320" s="27">
        <v>491</v>
      </c>
      <c r="B320" s="12" t="str">
        <f>"г. Череповец, ул. Центральная, д. 5"</f>
        <v>г. Череповец, ул. Центральная, д. 5</v>
      </c>
      <c r="C320" s="13">
        <f t="shared" si="7"/>
        <v>476044</v>
      </c>
      <c r="D320" s="13">
        <v>137292</v>
      </c>
      <c r="E320" s="13">
        <v>338752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20"/>
      <c r="AA320" s="20"/>
      <c r="AB320" s="20"/>
      <c r="AC320" s="20"/>
      <c r="AD320" s="20"/>
    </row>
    <row r="321" spans="1:30" ht="15" customHeight="1">
      <c r="A321" s="27">
        <v>492</v>
      </c>
      <c r="B321" s="12" t="str">
        <f>"г. Череповец, ул. Центральная, д. 7"</f>
        <v>г. Череповец, ул. Центральная, д. 7</v>
      </c>
      <c r="C321" s="13">
        <f t="shared" si="7"/>
        <v>476044</v>
      </c>
      <c r="D321" s="13">
        <f>4038*34</f>
        <v>137292</v>
      </c>
      <c r="E321" s="13">
        <v>338752</v>
      </c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20"/>
      <c r="AA321" s="20"/>
      <c r="AB321" s="20"/>
      <c r="AC321" s="20"/>
      <c r="AD321" s="20"/>
    </row>
    <row r="322" spans="1:30" ht="15" customHeight="1">
      <c r="A322" s="27">
        <v>493</v>
      </c>
      <c r="B322" s="12" t="str">
        <f>"г. Череповец, ул. Центральная, д. 9"</f>
        <v>г. Череповец, ул. Центральная, д. 9</v>
      </c>
      <c r="C322" s="13">
        <f t="shared" si="7"/>
        <v>282660</v>
      </c>
      <c r="D322" s="13">
        <f>4038*70</f>
        <v>282660</v>
      </c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20"/>
      <c r="AA322" s="20"/>
      <c r="AB322" s="20"/>
      <c r="AC322" s="20"/>
      <c r="AD322" s="20"/>
    </row>
    <row r="323" spans="1:30" ht="15" customHeight="1">
      <c r="A323" s="27">
        <v>494</v>
      </c>
      <c r="B323" s="12" t="str">
        <f>"г. Череповец, ул. Центральная, д. 9А"</f>
        <v>г. Череповец, ул. Центральная, д. 9А</v>
      </c>
      <c r="C323" s="13">
        <f t="shared" si="7"/>
        <v>1000000</v>
      </c>
      <c r="D323" s="13">
        <v>1000000</v>
      </c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20"/>
      <c r="AA323" s="20"/>
      <c r="AB323" s="20"/>
      <c r="AC323" s="20"/>
      <c r="AD323" s="20"/>
    </row>
    <row r="324" spans="1:30" ht="15" customHeight="1">
      <c r="A324" s="27">
        <v>495</v>
      </c>
      <c r="B324" s="12" t="str">
        <f>"г. Череповец, ул. Чкалова, д. 20"</f>
        <v>г. Череповец, ул. Чкалова, д. 20</v>
      </c>
      <c r="C324" s="13">
        <f t="shared" si="7"/>
        <v>2907200</v>
      </c>
      <c r="D324" s="13"/>
      <c r="E324" s="13">
        <v>2907200</v>
      </c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20"/>
      <c r="AA324" s="20"/>
      <c r="AB324" s="20"/>
      <c r="AC324" s="20"/>
      <c r="AD324" s="20"/>
    </row>
    <row r="325" spans="1:30" ht="15" customHeight="1">
      <c r="A325" s="27">
        <v>496</v>
      </c>
      <c r="B325" s="19" t="s">
        <v>34</v>
      </c>
      <c r="C325" s="13">
        <f>D325+E325+F325+G325+H325+I325+K325+M325+O325+Q325+S325++T325+U325+V325+W325+X325+Y325</f>
        <v>727296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>
        <v>727296</v>
      </c>
      <c r="V325" s="13"/>
      <c r="W325" s="13"/>
      <c r="X325" s="13"/>
      <c r="Y325" s="13"/>
      <c r="Z325" s="20">
        <v>1115908</v>
      </c>
      <c r="AA325" s="20"/>
      <c r="AB325" s="20"/>
      <c r="AC325" s="20"/>
      <c r="AD325" s="20"/>
    </row>
    <row r="326" spans="1:30" ht="15" customHeight="1">
      <c r="A326" s="27">
        <v>497</v>
      </c>
      <c r="B326" s="12" t="s">
        <v>30</v>
      </c>
      <c r="C326" s="13">
        <f>D326+E326+F326+G326+H326+I326+K326+M326+O326+Q326+S326++T326+U326+V326+W326+X326+Y326</f>
        <v>2630500</v>
      </c>
      <c r="D326" s="13"/>
      <c r="E326" s="13"/>
      <c r="F326" s="13"/>
      <c r="G326" s="13"/>
      <c r="H326" s="13"/>
      <c r="I326" s="13"/>
      <c r="J326" s="13"/>
      <c r="K326" s="13"/>
      <c r="L326" s="13">
        <v>1052.2</v>
      </c>
      <c r="M326" s="13">
        <v>2630500</v>
      </c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20"/>
      <c r="AA326" s="20"/>
      <c r="AB326" s="20"/>
      <c r="AC326" s="20"/>
      <c r="AD326" s="20"/>
    </row>
    <row r="327" spans="1:30" ht="15" customHeight="1">
      <c r="A327" s="27">
        <v>498</v>
      </c>
      <c r="B327" s="12" t="str">
        <f>"г. Череповец, ул. Юбилейная, д. 14"</f>
        <v>г. Череповец, ул. Юбилейная, д. 14</v>
      </c>
      <c r="C327" s="13">
        <f t="shared" si="7"/>
        <v>14322360</v>
      </c>
      <c r="D327" s="13"/>
      <c r="E327" s="13"/>
      <c r="F327" s="13"/>
      <c r="G327" s="13">
        <f>1796*450</f>
        <v>808200</v>
      </c>
      <c r="H327" s="13">
        <f>2104*450</f>
        <v>946800</v>
      </c>
      <c r="I327" s="13">
        <f>2845*388</f>
        <v>1103860</v>
      </c>
      <c r="J327" s="13">
        <v>2</v>
      </c>
      <c r="K327" s="13">
        <v>6000000</v>
      </c>
      <c r="L327" s="13">
        <v>512.1</v>
      </c>
      <c r="M327" s="13">
        <f>700*7805</f>
        <v>5463500</v>
      </c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20"/>
      <c r="AA327" s="20"/>
      <c r="AB327" s="20"/>
      <c r="AC327" s="20"/>
      <c r="AD327" s="20"/>
    </row>
    <row r="328" spans="1:30" ht="15" customHeight="1">
      <c r="A328" s="27">
        <v>499</v>
      </c>
      <c r="B328" s="12" t="str">
        <f>"г. Череповец, ул. Юбилейная, д. 36"</f>
        <v>г. Череповец, ул. Юбилейная, д. 36</v>
      </c>
      <c r="C328" s="13">
        <f t="shared" si="7"/>
        <v>270000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>
        <v>270000</v>
      </c>
      <c r="Y328" s="13"/>
      <c r="Z328" s="20"/>
      <c r="AA328" s="20"/>
      <c r="AB328" s="20"/>
      <c r="AC328" s="20"/>
      <c r="AD328" s="20"/>
    </row>
    <row r="329" spans="1:30" ht="15" customHeight="1">
      <c r="A329" s="27">
        <v>500</v>
      </c>
      <c r="B329" s="12" t="str">
        <f>"г. Череповец, ул. Юбилейная, д. 54"</f>
        <v>г. Череповец, ул. Юбилейная, д. 54</v>
      </c>
      <c r="C329" s="13">
        <f t="shared" si="7"/>
        <v>4023892</v>
      </c>
      <c r="D329" s="13"/>
      <c r="E329" s="13"/>
      <c r="F329" s="13"/>
      <c r="G329" s="13">
        <v>898000</v>
      </c>
      <c r="H329" s="13">
        <v>1342352</v>
      </c>
      <c r="I329" s="13">
        <v>1513540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>
        <v>270000</v>
      </c>
      <c r="Y329" s="13"/>
      <c r="Z329" s="20"/>
      <c r="AA329" s="20"/>
      <c r="AB329" s="20"/>
      <c r="AC329" s="20"/>
      <c r="AD329" s="20"/>
    </row>
    <row r="330" spans="1:30" ht="15" customHeight="1">
      <c r="A330" s="27">
        <v>501</v>
      </c>
      <c r="B330" s="19" t="s">
        <v>100</v>
      </c>
      <c r="C330" s="13">
        <f>D330+E330+F330+G330+H330+I330+K330+M330+O330+Q330+S330++T330+U330+V330+W330+X330+Y330</f>
        <v>1943000</v>
      </c>
      <c r="D330" s="13"/>
      <c r="E330" s="13"/>
      <c r="F330" s="13"/>
      <c r="G330" s="13"/>
      <c r="H330" s="13"/>
      <c r="I330" s="13"/>
      <c r="J330" s="13"/>
      <c r="K330" s="13"/>
      <c r="L330" s="13">
        <v>777.2</v>
      </c>
      <c r="M330" s="13">
        <v>1943000</v>
      </c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20"/>
      <c r="AA330" s="20"/>
      <c r="AB330" s="20"/>
      <c r="AC330" s="20"/>
      <c r="AD330" s="20"/>
    </row>
    <row r="331" spans="1:25" ht="15" customHeight="1">
      <c r="A331" s="35" t="s">
        <v>35</v>
      </c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>
        <v>2018</v>
      </c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7"/>
      <c r="Y331" s="32"/>
    </row>
    <row r="332" spans="1:30" ht="15" customHeight="1">
      <c r="A332" s="28">
        <v>491</v>
      </c>
      <c r="B332" s="22" t="str">
        <f>"г. Череповец, б-р. Доменщиков, д. 39"</f>
        <v>г. Череповец, б-р. Доменщиков, д. 39</v>
      </c>
      <c r="C332" s="14">
        <f aca="true" t="shared" si="8" ref="C332:C337">D332+E332+F332+G332+H332+I332+K332+M332+O332+Q332+S332+U332+T332+V332+W332+X332+Y332+Z332+AA332+AB332+AC332+AD332</f>
        <v>2826600</v>
      </c>
      <c r="D332" s="24">
        <f>4038*700</f>
        <v>2826600</v>
      </c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5"/>
      <c r="AA332" s="25"/>
      <c r="AB332" s="25"/>
      <c r="AC332" s="25"/>
      <c r="AD332" s="25"/>
    </row>
    <row r="333" spans="1:30" ht="15" customHeight="1">
      <c r="A333" s="28">
        <v>492</v>
      </c>
      <c r="B333" s="22" t="str">
        <f>"г. Череповец, б-р. Доменщиков, д. 39А"</f>
        <v>г. Череповец, б-р. Доменщиков, д. 39А</v>
      </c>
      <c r="C333" s="14">
        <f t="shared" si="8"/>
        <v>2969600</v>
      </c>
      <c r="D333" s="24"/>
      <c r="E333" s="24"/>
      <c r="F333" s="24">
        <f>9280*320</f>
        <v>2969600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5"/>
      <c r="AA333" s="25"/>
      <c r="AB333" s="25"/>
      <c r="AC333" s="25"/>
      <c r="AD333" s="25"/>
    </row>
    <row r="334" spans="1:30" ht="15" customHeight="1">
      <c r="A334" s="28">
        <v>493</v>
      </c>
      <c r="B334" s="22" t="str">
        <f>"г. Череповец, пл. Строителей, д. 2"</f>
        <v>г. Череповец, пл. Строителей, д. 2</v>
      </c>
      <c r="C334" s="14">
        <f t="shared" si="8"/>
        <v>8918080</v>
      </c>
      <c r="D334" s="24"/>
      <c r="E334" s="24"/>
      <c r="F334" s="24">
        <f>9280*961</f>
        <v>8918080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5"/>
      <c r="AA334" s="25"/>
      <c r="AB334" s="25"/>
      <c r="AC334" s="25"/>
      <c r="AD334" s="25"/>
    </row>
    <row r="335" spans="1:30" ht="15" customHeight="1">
      <c r="A335" s="28">
        <v>494</v>
      </c>
      <c r="B335" s="22" t="str">
        <f>"г. Череповец, пр-кт. Луначарского, д. 10"</f>
        <v>г. Череповец, пр-кт. Луначарского, д. 10</v>
      </c>
      <c r="C335" s="14">
        <f t="shared" si="8"/>
        <v>7470400</v>
      </c>
      <c r="D335" s="24"/>
      <c r="E335" s="24"/>
      <c r="F335" s="24">
        <f>9280*805</f>
        <v>7470400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5"/>
      <c r="AA335" s="25"/>
      <c r="AB335" s="25"/>
      <c r="AC335" s="25"/>
      <c r="AD335" s="25"/>
    </row>
    <row r="336" spans="1:30" ht="15" customHeight="1">
      <c r="A336" s="28">
        <v>495</v>
      </c>
      <c r="B336" s="22" t="str">
        <f>"г. Череповец, пр-кт. Луначарского, д. 40"</f>
        <v>г. Череповец, пр-кт. Луначарского, д. 40</v>
      </c>
      <c r="C336" s="14">
        <f t="shared" si="8"/>
        <v>288761</v>
      </c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>
        <f>288761*1</f>
        <v>288761</v>
      </c>
      <c r="V336" s="24"/>
      <c r="W336" s="24"/>
      <c r="X336" s="24"/>
      <c r="Y336" s="24"/>
      <c r="Z336" s="25"/>
      <c r="AA336" s="25"/>
      <c r="AB336" s="25"/>
      <c r="AC336" s="25"/>
      <c r="AD336" s="25"/>
    </row>
    <row r="337" spans="1:30" ht="15" customHeight="1">
      <c r="A337" s="28">
        <v>496</v>
      </c>
      <c r="B337" s="22" t="str">
        <f>"г. Череповец, пр-кт. Луначарского, д. 48"</f>
        <v>г. Череповец, пр-кт. Луначарского, д. 48</v>
      </c>
      <c r="C337" s="14">
        <f t="shared" si="8"/>
        <v>8675872</v>
      </c>
      <c r="D337" s="24"/>
      <c r="E337" s="24"/>
      <c r="F337" s="24"/>
      <c r="G337" s="24">
        <f>1272*1796</f>
        <v>2284512</v>
      </c>
      <c r="H337" s="24">
        <f>1480*2104</f>
        <v>3113920</v>
      </c>
      <c r="I337" s="24">
        <f>1152*2845</f>
        <v>3277440</v>
      </c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5"/>
      <c r="AA337" s="25"/>
      <c r="AB337" s="25"/>
      <c r="AC337" s="25"/>
      <c r="AD337" s="25"/>
    </row>
    <row r="338" spans="1:30" ht="15" customHeight="1">
      <c r="A338" s="28">
        <v>497</v>
      </c>
      <c r="B338" s="22" t="str">
        <f>"г. Череповец, пр-кт. Луначарского, д. 54"</f>
        <v>г. Череповец, пр-кт. Луначарского, д. 54</v>
      </c>
      <c r="C338" s="14">
        <f aca="true" t="shared" si="9" ref="C338:C402">D338+E338+F338+G338+H338+I338+K338+M338+O338+Q338+S338+U338+T338+V338+W338+X338+Y338+Z338+AA338+AB338+AC338+AD338</f>
        <v>3159470</v>
      </c>
      <c r="D338" s="24"/>
      <c r="E338" s="24"/>
      <c r="F338" s="24"/>
      <c r="G338" s="24">
        <f>570*1796</f>
        <v>1023720</v>
      </c>
      <c r="H338" s="24">
        <f>650*2104</f>
        <v>1367600</v>
      </c>
      <c r="I338" s="24">
        <f>270*2845</f>
        <v>768150</v>
      </c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5"/>
      <c r="AA338" s="25"/>
      <c r="AB338" s="25"/>
      <c r="AC338" s="25"/>
      <c r="AD338" s="25"/>
    </row>
    <row r="339" spans="1:30" ht="15" customHeight="1">
      <c r="A339" s="28">
        <v>498</v>
      </c>
      <c r="B339" s="22" t="str">
        <f>"г. Череповец, пр-кт. Луначарского, д. 56"</f>
        <v>г. Череповец, пр-кт. Луначарского, д. 56</v>
      </c>
      <c r="C339" s="14">
        <f t="shared" si="9"/>
        <v>2145480</v>
      </c>
      <c r="D339" s="24"/>
      <c r="E339" s="24"/>
      <c r="F339" s="24"/>
      <c r="G339" s="24">
        <f>1796*270</f>
        <v>484920</v>
      </c>
      <c r="H339" s="24">
        <f>2104*270</f>
        <v>568080</v>
      </c>
      <c r="I339" s="24">
        <f>2845*384</f>
        <v>1092480</v>
      </c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5"/>
      <c r="AA339" s="25"/>
      <c r="AB339" s="25"/>
      <c r="AC339" s="25"/>
      <c r="AD339" s="25"/>
    </row>
    <row r="340" spans="1:30" ht="15" customHeight="1">
      <c r="A340" s="28">
        <v>499</v>
      </c>
      <c r="B340" s="22" t="str">
        <f>"г. Череповец, пр-кт. Московский, д. 46"</f>
        <v>г. Череповец, пр-кт. Московский, д. 46</v>
      </c>
      <c r="C340" s="14">
        <f t="shared" si="9"/>
        <v>288761</v>
      </c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>
        <v>288761</v>
      </c>
      <c r="V340" s="24"/>
      <c r="W340" s="24"/>
      <c r="X340" s="24"/>
      <c r="Y340" s="24"/>
      <c r="Z340" s="25"/>
      <c r="AA340" s="25"/>
      <c r="AB340" s="25"/>
      <c r="AC340" s="25"/>
      <c r="AD340" s="25"/>
    </row>
    <row r="341" spans="1:30" ht="15" customHeight="1">
      <c r="A341" s="28">
        <v>500</v>
      </c>
      <c r="B341" s="22" t="str">
        <f>"г. Череповец, пр-кт. Московский, д. 50"</f>
        <v>г. Череповец, пр-кт. Московский, д. 50</v>
      </c>
      <c r="C341" s="14">
        <f t="shared" si="9"/>
        <v>5727744</v>
      </c>
      <c r="D341" s="24"/>
      <c r="E341" s="24"/>
      <c r="F341" s="24"/>
      <c r="G341" s="24"/>
      <c r="H341" s="24"/>
      <c r="I341" s="24"/>
      <c r="J341" s="24"/>
      <c r="K341" s="24"/>
      <c r="L341" s="24">
        <v>1152</v>
      </c>
      <c r="M341" s="24">
        <f>4972*L341</f>
        <v>5727744</v>
      </c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5"/>
      <c r="AA341" s="25"/>
      <c r="AB341" s="25"/>
      <c r="AC341" s="25"/>
      <c r="AD341" s="25"/>
    </row>
    <row r="342" spans="1:30" ht="15" customHeight="1">
      <c r="A342" s="28">
        <v>501</v>
      </c>
      <c r="B342" s="22" t="str">
        <f>"г. Череповец, пр-кт. Московский, д. 52"</f>
        <v>г. Череповец, пр-кт. Московский, д. 52</v>
      </c>
      <c r="C342" s="14">
        <f t="shared" si="9"/>
        <v>5492071.199999999</v>
      </c>
      <c r="D342" s="24"/>
      <c r="E342" s="24"/>
      <c r="F342" s="24"/>
      <c r="G342" s="24"/>
      <c r="H342" s="24"/>
      <c r="I342" s="24"/>
      <c r="J342" s="24"/>
      <c r="K342" s="24"/>
      <c r="L342" s="24">
        <v>1104.6</v>
      </c>
      <c r="M342" s="24">
        <f>4972*1104.6</f>
        <v>5492071.199999999</v>
      </c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5"/>
      <c r="AA342" s="25"/>
      <c r="AB342" s="25"/>
      <c r="AC342" s="25"/>
      <c r="AD342" s="25"/>
    </row>
    <row r="343" spans="1:30" ht="15" customHeight="1">
      <c r="A343" s="28">
        <v>502</v>
      </c>
      <c r="B343" s="22" t="str">
        <f>"г. Череповец, пр-кт. Московский, д. 54"</f>
        <v>г. Череповец, пр-кт. Московский, д. 54</v>
      </c>
      <c r="C343" s="14">
        <f t="shared" si="9"/>
        <v>5489088</v>
      </c>
      <c r="D343" s="24"/>
      <c r="E343" s="24"/>
      <c r="F343" s="24"/>
      <c r="G343" s="24"/>
      <c r="H343" s="24"/>
      <c r="I343" s="24"/>
      <c r="J343" s="24"/>
      <c r="K343" s="24"/>
      <c r="L343" s="24">
        <v>1104</v>
      </c>
      <c r="M343" s="24">
        <f>4972*L343</f>
        <v>5489088</v>
      </c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5"/>
      <c r="AA343" s="25"/>
      <c r="AB343" s="25"/>
      <c r="AC343" s="25"/>
      <c r="AD343" s="25"/>
    </row>
    <row r="344" spans="1:30" ht="15" customHeight="1">
      <c r="A344" s="28">
        <v>503</v>
      </c>
      <c r="B344" s="22" t="str">
        <f>"г. Череповец, пр-кт. Московский, д. 62"</f>
        <v>г. Череповец, пр-кт. Московский, д. 62</v>
      </c>
      <c r="C344" s="14">
        <f t="shared" si="9"/>
        <v>4256032</v>
      </c>
      <c r="D344" s="24"/>
      <c r="E344" s="24"/>
      <c r="F344" s="24"/>
      <c r="G344" s="24"/>
      <c r="H344" s="24"/>
      <c r="I344" s="24"/>
      <c r="J344" s="24"/>
      <c r="K344" s="24"/>
      <c r="L344" s="24">
        <v>856</v>
      </c>
      <c r="M344" s="24">
        <f>4972*L344</f>
        <v>4256032</v>
      </c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5"/>
      <c r="AA344" s="25"/>
      <c r="AB344" s="25"/>
      <c r="AC344" s="25"/>
      <c r="AD344" s="25"/>
    </row>
    <row r="345" spans="1:30" ht="15" customHeight="1">
      <c r="A345" s="28">
        <v>504</v>
      </c>
      <c r="B345" s="22" t="str">
        <f>"г. Череповец, пр-кт. Октябрьский, д. 49, корп.1"</f>
        <v>г. Череповец, пр-кт. Октябрьский, д. 49, корп.1</v>
      </c>
      <c r="C345" s="14">
        <f t="shared" si="9"/>
        <v>759136</v>
      </c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>
        <v>759136</v>
      </c>
      <c r="Y345" s="24"/>
      <c r="Z345" s="25"/>
      <c r="AA345" s="25"/>
      <c r="AB345" s="25"/>
      <c r="AC345" s="25"/>
      <c r="AD345" s="25"/>
    </row>
    <row r="346" spans="1:30" ht="15" customHeight="1">
      <c r="A346" s="28">
        <v>505</v>
      </c>
      <c r="B346" s="22" t="str">
        <f>"г. Череповец, пр-кт. Октябрьский, д. 54"</f>
        <v>г. Череповец, пр-кт. Октябрьский, д. 54</v>
      </c>
      <c r="C346" s="14">
        <f t="shared" si="9"/>
        <v>5346425</v>
      </c>
      <c r="D346" s="24"/>
      <c r="E346" s="24"/>
      <c r="F346" s="24"/>
      <c r="G346" s="24"/>
      <c r="H346" s="24"/>
      <c r="I346" s="24"/>
      <c r="J346" s="24"/>
      <c r="K346" s="24"/>
      <c r="L346" s="24">
        <v>685</v>
      </c>
      <c r="M346" s="24">
        <f>7805*L346</f>
        <v>5346425</v>
      </c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5"/>
      <c r="AA346" s="25"/>
      <c r="AB346" s="25"/>
      <c r="AC346" s="25"/>
      <c r="AD346" s="25"/>
    </row>
    <row r="347" spans="1:30" ht="15" customHeight="1">
      <c r="A347" s="28">
        <v>506</v>
      </c>
      <c r="B347" s="22" t="str">
        <f>"г. Череповец, пр-кт. Победы, д. 131"</f>
        <v>г. Череповец, пр-кт. Победы, д. 131</v>
      </c>
      <c r="C347" s="14">
        <f t="shared" si="9"/>
        <v>0</v>
      </c>
      <c r="D347" s="24">
        <v>0</v>
      </c>
      <c r="E347" s="24"/>
      <c r="F347" s="24"/>
      <c r="G347" s="24"/>
      <c r="H347" s="24"/>
      <c r="I347" s="24"/>
      <c r="J347" s="24"/>
      <c r="K347" s="24"/>
      <c r="L347" s="24"/>
      <c r="M347" s="24">
        <v>0</v>
      </c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5"/>
      <c r="AA347" s="25"/>
      <c r="AB347" s="25"/>
      <c r="AC347" s="25"/>
      <c r="AD347" s="25"/>
    </row>
    <row r="348" spans="1:30" ht="15" customHeight="1">
      <c r="A348" s="28">
        <v>507</v>
      </c>
      <c r="B348" s="22" t="str">
        <f>"г. Череповец, пр-кт. Победы, д. 142"</f>
        <v>г. Череповец, пр-кт. Победы, д. 142</v>
      </c>
      <c r="C348" s="14">
        <f t="shared" si="9"/>
        <v>759136</v>
      </c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>
        <f>759136</f>
        <v>759136</v>
      </c>
      <c r="Y348" s="24"/>
      <c r="Z348" s="25"/>
      <c r="AA348" s="25"/>
      <c r="AB348" s="25"/>
      <c r="AC348" s="25"/>
      <c r="AD348" s="25"/>
    </row>
    <row r="349" spans="1:30" ht="15" customHeight="1">
      <c r="A349" s="28">
        <v>508</v>
      </c>
      <c r="B349" s="22" t="str">
        <f>"г. Череповец, пр-кт. Победы, д. 15"</f>
        <v>г. Череповец, пр-кт. Победы, д. 15</v>
      </c>
      <c r="C349" s="14">
        <f t="shared" si="9"/>
        <v>2558320</v>
      </c>
      <c r="D349" s="24"/>
      <c r="E349" s="24">
        <f>1130*2264</f>
        <v>2558320</v>
      </c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5"/>
      <c r="AA349" s="25"/>
      <c r="AB349" s="25"/>
      <c r="AC349" s="25"/>
      <c r="AD349" s="25"/>
    </row>
    <row r="350" spans="1:30" ht="15" customHeight="1">
      <c r="A350" s="28">
        <v>509</v>
      </c>
      <c r="B350" s="22" t="str">
        <f>"г. Череповец, пр-кт. Победы, д. 166"</f>
        <v>г. Череповец, пр-кт. Победы, д. 166</v>
      </c>
      <c r="C350" s="14">
        <f t="shared" si="9"/>
        <v>759136</v>
      </c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>
        <f>1*759136</f>
        <v>759136</v>
      </c>
      <c r="Y350" s="24"/>
      <c r="Z350" s="25"/>
      <c r="AA350" s="25"/>
      <c r="AB350" s="25"/>
      <c r="AC350" s="25"/>
      <c r="AD350" s="25"/>
    </row>
    <row r="351" spans="1:30" ht="15" customHeight="1">
      <c r="A351" s="28">
        <v>510</v>
      </c>
      <c r="B351" s="22" t="str">
        <f>"г. Череповец, пр-кт. Победы, д. 184"</f>
        <v>г. Череповец, пр-кт. Победы, д. 184</v>
      </c>
      <c r="C351" s="14">
        <f t="shared" si="9"/>
        <v>759136</v>
      </c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>
        <f>1*759136</f>
        <v>759136</v>
      </c>
      <c r="Y351" s="24"/>
      <c r="Z351" s="25"/>
      <c r="AA351" s="25"/>
      <c r="AB351" s="25"/>
      <c r="AC351" s="25"/>
      <c r="AD351" s="25"/>
    </row>
    <row r="352" spans="1:30" ht="15" customHeight="1">
      <c r="A352" s="28">
        <v>511</v>
      </c>
      <c r="B352" s="22" t="str">
        <f>"г. Череповец, пр-кт. Победы, д. 186"</f>
        <v>г. Череповец, пр-кт. Победы, д. 186</v>
      </c>
      <c r="C352" s="14">
        <f t="shared" si="9"/>
        <v>16314010.999999998</v>
      </c>
      <c r="D352" s="24"/>
      <c r="E352" s="24"/>
      <c r="F352" s="24"/>
      <c r="G352" s="24"/>
      <c r="H352" s="24"/>
      <c r="I352" s="24"/>
      <c r="J352" s="24"/>
      <c r="K352" s="24"/>
      <c r="L352" s="24">
        <v>2090.2</v>
      </c>
      <c r="M352" s="24">
        <f>7805*2090.2</f>
        <v>16314010.999999998</v>
      </c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5"/>
      <c r="AA352" s="25"/>
      <c r="AB352" s="25"/>
      <c r="AC352" s="25"/>
      <c r="AD352" s="25"/>
    </row>
    <row r="353" spans="1:31" ht="15" customHeight="1">
      <c r="A353" s="28">
        <v>512</v>
      </c>
      <c r="B353" s="12" t="s">
        <v>101</v>
      </c>
      <c r="C353" s="14">
        <f t="shared" si="9"/>
        <v>508510.4</v>
      </c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>
        <v>508510.4</v>
      </c>
      <c r="V353" s="13"/>
      <c r="W353" s="13"/>
      <c r="X353" s="13"/>
      <c r="Y353" s="13"/>
      <c r="Z353" s="20"/>
      <c r="AA353" s="20"/>
      <c r="AB353" s="20"/>
      <c r="AC353" s="20"/>
      <c r="AD353" s="20"/>
      <c r="AE353" s="21"/>
    </row>
    <row r="354" spans="1:30" ht="15" customHeight="1">
      <c r="A354" s="28">
        <v>513</v>
      </c>
      <c r="B354" s="22" t="str">
        <f>"г. Череповец, пр-кт. Победы, д. 192"</f>
        <v>г. Череповец, пр-кт. Победы, д. 192</v>
      </c>
      <c r="C354" s="14">
        <f t="shared" si="9"/>
        <v>759136</v>
      </c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>
        <f>1*759136</f>
        <v>759136</v>
      </c>
      <c r="Y354" s="24"/>
      <c r="Z354" s="25"/>
      <c r="AA354" s="25"/>
      <c r="AB354" s="25"/>
      <c r="AC354" s="25"/>
      <c r="AD354" s="25"/>
    </row>
    <row r="355" spans="1:30" ht="15" customHeight="1">
      <c r="A355" s="28">
        <v>514</v>
      </c>
      <c r="B355" s="22" t="str">
        <f>"г. Череповец, пр-кт. Победы, д. 32"</f>
        <v>г. Череповец, пр-кт. Победы, д. 32</v>
      </c>
      <c r="C355" s="14">
        <f t="shared" si="9"/>
        <v>7538626</v>
      </c>
      <c r="D355" s="24"/>
      <c r="E355" s="24"/>
      <c r="F355" s="24"/>
      <c r="G355" s="24">
        <f>186*1796</f>
        <v>334056</v>
      </c>
      <c r="H355" s="24">
        <f>210*2104</f>
        <v>441840</v>
      </c>
      <c r="I355" s="24">
        <f>210*2845</f>
        <v>597450</v>
      </c>
      <c r="J355" s="24"/>
      <c r="K355" s="24"/>
      <c r="L355" s="24">
        <v>1240</v>
      </c>
      <c r="M355" s="24">
        <f>4972*L355</f>
        <v>6165280</v>
      </c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5"/>
      <c r="AA355" s="25"/>
      <c r="AB355" s="25"/>
      <c r="AC355" s="25"/>
      <c r="AD355" s="25"/>
    </row>
    <row r="356" spans="1:30" ht="15" customHeight="1">
      <c r="A356" s="28">
        <v>515</v>
      </c>
      <c r="B356" s="22" t="str">
        <f>"г. Череповец, пр-кт. Победы, д. 38"</f>
        <v>г. Череповец, пр-кт. Победы, д. 38</v>
      </c>
      <c r="C356" s="14">
        <f t="shared" si="9"/>
        <v>6165280</v>
      </c>
      <c r="D356" s="24"/>
      <c r="E356" s="24"/>
      <c r="F356" s="24"/>
      <c r="G356" s="24"/>
      <c r="H356" s="24"/>
      <c r="I356" s="24"/>
      <c r="J356" s="24"/>
      <c r="K356" s="24"/>
      <c r="L356" s="24">
        <v>1240</v>
      </c>
      <c r="M356" s="24">
        <f>4972*L356</f>
        <v>6165280</v>
      </c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5"/>
      <c r="AA356" s="25"/>
      <c r="AB356" s="25"/>
      <c r="AC356" s="25"/>
      <c r="AD356" s="25"/>
    </row>
    <row r="357" spans="1:30" ht="15" customHeight="1">
      <c r="A357" s="28">
        <v>516</v>
      </c>
      <c r="B357" s="22" t="str">
        <f>"г. Череповец, пр-кт. Победы, д. 44"</f>
        <v>г. Череповец, пр-кт. Победы, д. 44</v>
      </c>
      <c r="C357" s="14">
        <f t="shared" si="9"/>
        <v>1610928</v>
      </c>
      <c r="D357" s="24"/>
      <c r="E357" s="24"/>
      <c r="F357" s="24"/>
      <c r="G357" s="24"/>
      <c r="H357" s="24"/>
      <c r="I357" s="24"/>
      <c r="J357" s="24"/>
      <c r="K357" s="24"/>
      <c r="L357" s="24">
        <v>324</v>
      </c>
      <c r="M357" s="24">
        <f>4972*L357</f>
        <v>1610928</v>
      </c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5"/>
      <c r="AA357" s="25"/>
      <c r="AB357" s="25"/>
      <c r="AC357" s="25"/>
      <c r="AD357" s="25"/>
    </row>
    <row r="358" spans="1:30" ht="15" customHeight="1">
      <c r="A358" s="28">
        <v>517</v>
      </c>
      <c r="B358" s="22" t="str">
        <f>"г. Череповец, пр-кт. Победы, д. 45"</f>
        <v>г. Череповец, пр-кт. Победы, д. 45</v>
      </c>
      <c r="C358" s="14">
        <f t="shared" si="9"/>
        <v>5131183.6</v>
      </c>
      <c r="D358" s="24"/>
      <c r="E358" s="24"/>
      <c r="F358" s="24"/>
      <c r="G358" s="24">
        <f>186*1796</f>
        <v>334056</v>
      </c>
      <c r="H358" s="24">
        <f>210*2104</f>
        <v>441840</v>
      </c>
      <c r="I358" s="24">
        <f>210*2845</f>
        <v>597450</v>
      </c>
      <c r="J358" s="24"/>
      <c r="K358" s="24"/>
      <c r="L358" s="24">
        <v>755.8</v>
      </c>
      <c r="M358" s="24">
        <f>4972*L358</f>
        <v>3757837.5999999996</v>
      </c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5"/>
      <c r="AA358" s="25"/>
      <c r="AB358" s="25"/>
      <c r="AC358" s="25"/>
      <c r="AD358" s="25"/>
    </row>
    <row r="359" spans="1:30" ht="15" customHeight="1">
      <c r="A359" s="28">
        <v>518</v>
      </c>
      <c r="B359" s="22" t="str">
        <f>"г. Череповец, пр-кт. Победы, д. 46"</f>
        <v>г. Череповец, пр-кт. Победы, д. 46</v>
      </c>
      <c r="C359" s="14">
        <f t="shared" si="9"/>
        <v>1889360</v>
      </c>
      <c r="D359" s="24"/>
      <c r="E359" s="24"/>
      <c r="F359" s="24"/>
      <c r="G359" s="24"/>
      <c r="H359" s="24"/>
      <c r="I359" s="24"/>
      <c r="J359" s="24"/>
      <c r="K359" s="24"/>
      <c r="L359" s="24">
        <v>380</v>
      </c>
      <c r="M359" s="24">
        <f>4972*L359</f>
        <v>1889360</v>
      </c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5"/>
      <c r="AA359" s="25"/>
      <c r="AB359" s="25"/>
      <c r="AC359" s="25"/>
      <c r="AD359" s="25"/>
    </row>
    <row r="360" spans="1:30" ht="15" customHeight="1">
      <c r="A360" s="28">
        <v>519</v>
      </c>
      <c r="B360" s="22" t="str">
        <f>"г. Череповец, пр-кт. Победы, д. 49"</f>
        <v>г. Череповец, пр-кт. Победы, д. 49</v>
      </c>
      <c r="C360" s="14">
        <f t="shared" si="9"/>
        <v>577522</v>
      </c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>
        <f>2*288761</f>
        <v>577522</v>
      </c>
      <c r="V360" s="24"/>
      <c r="W360" s="24"/>
      <c r="X360" s="24"/>
      <c r="Y360" s="24"/>
      <c r="Z360" s="25"/>
      <c r="AA360" s="25"/>
      <c r="AB360" s="25"/>
      <c r="AC360" s="25"/>
      <c r="AD360" s="25"/>
    </row>
    <row r="361" spans="1:30" ht="15" customHeight="1">
      <c r="A361" s="28">
        <v>520</v>
      </c>
      <c r="B361" s="22" t="str">
        <f>"г. Череповец, пр-кт. Победы, д. 51"</f>
        <v>г. Череповец, пр-кт. Победы, д. 51</v>
      </c>
      <c r="C361" s="14">
        <f t="shared" si="9"/>
        <v>1992556</v>
      </c>
      <c r="D361" s="24"/>
      <c r="E361" s="24"/>
      <c r="F361" s="24"/>
      <c r="G361" s="24">
        <f>1796*210</f>
        <v>377160</v>
      </c>
      <c r="H361" s="24">
        <f>2104*210</f>
        <v>441840</v>
      </c>
      <c r="I361" s="24">
        <f>2845*311</f>
        <v>884795</v>
      </c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>
        <v>288761</v>
      </c>
      <c r="V361" s="24"/>
      <c r="W361" s="24"/>
      <c r="X361" s="24"/>
      <c r="Y361" s="24"/>
      <c r="Z361" s="25"/>
      <c r="AA361" s="25"/>
      <c r="AB361" s="25"/>
      <c r="AC361" s="25"/>
      <c r="AD361" s="25"/>
    </row>
    <row r="362" spans="1:30" ht="15" customHeight="1">
      <c r="A362" s="28">
        <v>521</v>
      </c>
      <c r="B362" s="19" t="str">
        <f>"г. Череповец, пр-кт. Победы, д. 58А"</f>
        <v>г. Череповец, пр-кт. Победы, д. 58А</v>
      </c>
      <c r="C362" s="14">
        <f t="shared" si="9"/>
        <v>2019000</v>
      </c>
      <c r="D362" s="14">
        <f>500*4038</f>
        <v>2019000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7"/>
      <c r="AA362" s="17"/>
      <c r="AB362" s="17"/>
      <c r="AC362" s="17"/>
      <c r="AD362" s="17"/>
    </row>
    <row r="363" spans="1:30" ht="15" customHeight="1">
      <c r="A363" s="28">
        <v>522</v>
      </c>
      <c r="B363" s="22" t="str">
        <f>"г. Череповец, пр-кт. Победы, д. 65"</f>
        <v>г. Череповец, пр-кт. Победы, д. 65</v>
      </c>
      <c r="C363" s="14">
        <f t="shared" si="9"/>
        <v>6786282.800000001</v>
      </c>
      <c r="D363" s="24"/>
      <c r="E363" s="24"/>
      <c r="F363" s="24"/>
      <c r="G363" s="24"/>
      <c r="H363" s="24"/>
      <c r="I363" s="24"/>
      <c r="J363" s="24"/>
      <c r="K363" s="24"/>
      <c r="L363" s="24">
        <v>1364.9</v>
      </c>
      <c r="M363" s="24">
        <f>4972*L363</f>
        <v>6786282.800000001</v>
      </c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5"/>
      <c r="AA363" s="25"/>
      <c r="AB363" s="25"/>
      <c r="AC363" s="25"/>
      <c r="AD363" s="25"/>
    </row>
    <row r="364" spans="1:30" ht="15" customHeight="1">
      <c r="A364" s="28">
        <v>523</v>
      </c>
      <c r="B364" s="22" t="str">
        <f>"г. Череповец, пр-кт. Победы, д. 77"</f>
        <v>г. Череповец, пр-кт. Победы, д. 77</v>
      </c>
      <c r="C364" s="14">
        <f t="shared" si="9"/>
        <v>2422800</v>
      </c>
      <c r="D364" s="24">
        <f>600*4038</f>
        <v>2422800</v>
      </c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5"/>
      <c r="AA364" s="25"/>
      <c r="AB364" s="25"/>
      <c r="AC364" s="25"/>
      <c r="AD364" s="25"/>
    </row>
    <row r="365" spans="1:30" ht="15" customHeight="1">
      <c r="A365" s="28">
        <v>524</v>
      </c>
      <c r="B365" s="22" t="str">
        <f>"г. Череповец, пр-кт. Победы, д. 81"</f>
        <v>г. Череповец, пр-кт. Победы, д. 81</v>
      </c>
      <c r="C365" s="14">
        <f t="shared" si="9"/>
        <v>3472680</v>
      </c>
      <c r="D365" s="24">
        <f>860*4038</f>
        <v>3472680</v>
      </c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5"/>
      <c r="AA365" s="25"/>
      <c r="AB365" s="25"/>
      <c r="AC365" s="25"/>
      <c r="AD365" s="25"/>
    </row>
    <row r="366" spans="1:31" ht="15" customHeight="1">
      <c r="A366" s="28">
        <v>525</v>
      </c>
      <c r="B366" s="12" t="str">
        <f>"г. Череповец, пр-кт. Победы, д. 149"</f>
        <v>г. Череповец, пр-кт. Победы, д. 149</v>
      </c>
      <c r="C366" s="13">
        <f>D366+E366+F366+G366+H366+I366+K366+M366+O366+Q366+S366+T366+U366+V366+W366+X366+Y366+Z366+AA366+AB366+AC366+AD366</f>
        <v>4038000</v>
      </c>
      <c r="D366" s="13">
        <f>4038*1000</f>
        <v>4038000</v>
      </c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20"/>
      <c r="AA366" s="20"/>
      <c r="AB366" s="20"/>
      <c r="AC366" s="20"/>
      <c r="AD366" s="20"/>
      <c r="AE366" s="21"/>
    </row>
    <row r="367" spans="1:30" ht="15" customHeight="1">
      <c r="A367" s="28">
        <v>526</v>
      </c>
      <c r="B367" s="22" t="str">
        <f>"г. Череповец, пр-кт. Строителей, д. 10"</f>
        <v>г. Череповец, пр-кт. Строителей, д. 10</v>
      </c>
      <c r="C367" s="14">
        <f t="shared" si="9"/>
        <v>646080</v>
      </c>
      <c r="D367" s="24">
        <f>4038*160</f>
        <v>646080</v>
      </c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5"/>
      <c r="AA367" s="25"/>
      <c r="AB367" s="25"/>
      <c r="AC367" s="25"/>
      <c r="AD367" s="25"/>
    </row>
    <row r="368" spans="1:30" ht="15" customHeight="1">
      <c r="A368" s="28">
        <v>527</v>
      </c>
      <c r="B368" s="22" t="str">
        <f>"г. Череповец, пр-кт. Строителей, д. 14"</f>
        <v>г. Череповец, пр-кт. Строителей, д. 14</v>
      </c>
      <c r="C368" s="14">
        <f t="shared" si="9"/>
        <v>64608</v>
      </c>
      <c r="D368" s="24">
        <f>4038*16</f>
        <v>64608</v>
      </c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5"/>
      <c r="AA368" s="25"/>
      <c r="AB368" s="25"/>
      <c r="AC368" s="25"/>
      <c r="AD368" s="25"/>
    </row>
    <row r="369" spans="1:30" ht="15" customHeight="1">
      <c r="A369" s="28">
        <v>528</v>
      </c>
      <c r="B369" s="22" t="str">
        <f>"г. Череповец, пр-кт. Строителей, д. 16"</f>
        <v>г. Череповец, пр-кт. Строителей, д. 16</v>
      </c>
      <c r="C369" s="14">
        <f t="shared" si="9"/>
        <v>1404669</v>
      </c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>
        <f>1115908+1*288761</f>
        <v>1404669</v>
      </c>
      <c r="V369" s="24"/>
      <c r="W369" s="24"/>
      <c r="X369" s="24"/>
      <c r="Y369" s="24"/>
      <c r="Z369" s="25"/>
      <c r="AA369" s="25"/>
      <c r="AB369" s="25"/>
      <c r="AC369" s="25"/>
      <c r="AD369" s="25"/>
    </row>
    <row r="370" spans="1:30" ht="15" customHeight="1">
      <c r="A370" s="28">
        <v>529</v>
      </c>
      <c r="B370" s="22" t="str">
        <f>"г. Череповец, пр-кт. Строителей, д. 20"</f>
        <v>г. Череповец, пр-кт. Строителей, д. 20</v>
      </c>
      <c r="C370" s="14">
        <f t="shared" si="9"/>
        <v>8979248</v>
      </c>
      <c r="D370" s="24"/>
      <c r="E370" s="24">
        <f>2264*1642</f>
        <v>3717488</v>
      </c>
      <c r="F370" s="24">
        <f>9280*567</f>
        <v>5261760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5"/>
      <c r="AA370" s="25"/>
      <c r="AB370" s="25"/>
      <c r="AC370" s="25"/>
      <c r="AD370" s="25"/>
    </row>
    <row r="371" spans="1:30" ht="15" customHeight="1">
      <c r="A371" s="28">
        <v>530</v>
      </c>
      <c r="B371" s="22" t="str">
        <f>"г. Череповец, пр-кт. Строителей, д. 35"</f>
        <v>г. Череповец, пр-кт. Строителей, д. 35</v>
      </c>
      <c r="C371" s="14">
        <f t="shared" si="9"/>
        <v>5261760</v>
      </c>
      <c r="D371" s="24"/>
      <c r="E371" s="24"/>
      <c r="F371" s="24">
        <f>9280*567</f>
        <v>5261760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5"/>
      <c r="AA371" s="25"/>
      <c r="AB371" s="25"/>
      <c r="AC371" s="25"/>
      <c r="AD371" s="25"/>
    </row>
    <row r="372" spans="1:30" ht="15" customHeight="1">
      <c r="A372" s="28">
        <v>531</v>
      </c>
      <c r="B372" s="22" t="str">
        <f>"г. Череповец, пр-кт. Строителей, д. 38"</f>
        <v>г. Череповец, пр-кт. Строителей, д. 38</v>
      </c>
      <c r="C372" s="14">
        <f t="shared" si="9"/>
        <v>1670400</v>
      </c>
      <c r="D372" s="24"/>
      <c r="E372" s="24"/>
      <c r="F372" s="24">
        <f>9280*180</f>
        <v>1670400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5"/>
      <c r="AA372" s="25"/>
      <c r="AB372" s="25"/>
      <c r="AC372" s="25"/>
      <c r="AD372" s="25"/>
    </row>
    <row r="373" spans="1:30" ht="15" customHeight="1">
      <c r="A373" s="28">
        <v>532</v>
      </c>
      <c r="B373" s="22" t="str">
        <f>"г. Череповец, ул. Архангельская, д. 102"</f>
        <v>г. Череповец, ул. Архангельская, д. 102</v>
      </c>
      <c r="C373" s="14">
        <f t="shared" si="9"/>
        <v>1404669</v>
      </c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>
        <f>1115908+1*288761</f>
        <v>1404669</v>
      </c>
      <c r="V373" s="24"/>
      <c r="W373" s="24"/>
      <c r="X373" s="24"/>
      <c r="Y373" s="24"/>
      <c r="Z373" s="25"/>
      <c r="AA373" s="25"/>
      <c r="AB373" s="25"/>
      <c r="AC373" s="25"/>
      <c r="AD373" s="25"/>
    </row>
    <row r="374" spans="1:30" ht="15" customHeight="1">
      <c r="A374" s="28">
        <v>533</v>
      </c>
      <c r="B374" s="22" t="str">
        <f>"г. Череповец, ул. Архангельская, д. 13Б"</f>
        <v>г. Череповец, ул. Архангельская, д. 13Б</v>
      </c>
      <c r="C374" s="14">
        <f t="shared" si="9"/>
        <v>9311261</v>
      </c>
      <c r="D374" s="24"/>
      <c r="E374" s="24"/>
      <c r="F374" s="24"/>
      <c r="G374" s="24">
        <f>1796*675</f>
        <v>1212300</v>
      </c>
      <c r="H374" s="24">
        <f>2104*675</f>
        <v>1420200</v>
      </c>
      <c r="I374" s="24">
        <f>2845*600</f>
        <v>1707000</v>
      </c>
      <c r="J374" s="24"/>
      <c r="K374" s="24"/>
      <c r="L374" s="24">
        <v>600</v>
      </c>
      <c r="M374" s="24">
        <f>7805*600</f>
        <v>4683000</v>
      </c>
      <c r="N374" s="24"/>
      <c r="O374" s="24"/>
      <c r="P374" s="24"/>
      <c r="Q374" s="24"/>
      <c r="R374" s="24"/>
      <c r="S374" s="24"/>
      <c r="T374" s="24"/>
      <c r="U374" s="24">
        <f>1*288761</f>
        <v>288761</v>
      </c>
      <c r="V374" s="24"/>
      <c r="W374" s="24"/>
      <c r="X374" s="24"/>
      <c r="Y374" s="24"/>
      <c r="Z374" s="25"/>
      <c r="AA374" s="25"/>
      <c r="AB374" s="25"/>
      <c r="AC374" s="25"/>
      <c r="AD374" s="25"/>
    </row>
    <row r="375" spans="1:30" ht="15" customHeight="1">
      <c r="A375" s="28">
        <v>534</v>
      </c>
      <c r="B375" s="22" t="str">
        <f>"г. Череповец, ул. Бабушкина, д. 10"</f>
        <v>г. Череповец, ул. Бабушкина, д. 10</v>
      </c>
      <c r="C375" s="14">
        <f t="shared" si="9"/>
        <v>9389096</v>
      </c>
      <c r="D375" s="24"/>
      <c r="E375" s="24">
        <f>2264*2319</f>
        <v>5250216</v>
      </c>
      <c r="F375" s="24">
        <f>9280*446</f>
        <v>4138880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5"/>
      <c r="AA375" s="25"/>
      <c r="AB375" s="25"/>
      <c r="AC375" s="25"/>
      <c r="AD375" s="25"/>
    </row>
    <row r="376" spans="1:30" ht="15" customHeight="1">
      <c r="A376" s="28">
        <v>535</v>
      </c>
      <c r="B376" s="22" t="str">
        <f>"г. Череповец, ул. Бабушкина, д. 19"</f>
        <v>г. Череповец, ул. Бабушкина, д. 19</v>
      </c>
      <c r="C376" s="14">
        <f t="shared" si="9"/>
        <v>1670400</v>
      </c>
      <c r="D376" s="24"/>
      <c r="E376" s="24"/>
      <c r="F376" s="24">
        <f>9280*180</f>
        <v>1670400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5"/>
      <c r="AA376" s="25"/>
      <c r="AB376" s="25"/>
      <c r="AC376" s="25"/>
      <c r="AD376" s="25"/>
    </row>
    <row r="377" spans="1:30" ht="15" customHeight="1">
      <c r="A377" s="28">
        <v>536</v>
      </c>
      <c r="B377" s="22" t="str">
        <f>"г. Череповец, ул. Бабушкина, д. 21"</f>
        <v>г. Череповец, ул. Бабушкина, д. 21</v>
      </c>
      <c r="C377" s="14">
        <f t="shared" si="9"/>
        <v>2422080</v>
      </c>
      <c r="D377" s="24"/>
      <c r="E377" s="24"/>
      <c r="F377" s="24">
        <f>9280*261</f>
        <v>2422080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5"/>
      <c r="AA377" s="25"/>
      <c r="AB377" s="25"/>
      <c r="AC377" s="25"/>
      <c r="AD377" s="25"/>
    </row>
    <row r="378" spans="1:30" ht="15" customHeight="1">
      <c r="A378" s="28">
        <v>537</v>
      </c>
      <c r="B378" s="22" t="str">
        <f>"г. Череповец, ул. Бабушкина, д. 8"</f>
        <v>г. Череповец, ул. Бабушкина, д. 8</v>
      </c>
      <c r="C378" s="14">
        <f t="shared" si="9"/>
        <v>2913920</v>
      </c>
      <c r="D378" s="24"/>
      <c r="E378" s="24"/>
      <c r="F378" s="24">
        <f>9280*314</f>
        <v>2913920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5"/>
      <c r="AA378" s="25"/>
      <c r="AB378" s="25"/>
      <c r="AC378" s="25"/>
      <c r="AD378" s="25"/>
    </row>
    <row r="379" spans="1:30" ht="15" customHeight="1">
      <c r="A379" s="28">
        <v>538</v>
      </c>
      <c r="B379" s="22" t="str">
        <f>"г. Череповец, ул. Бардина, д. 1"</f>
        <v>г. Череповец, ул. Бардина, д. 1</v>
      </c>
      <c r="C379" s="14">
        <f t="shared" si="9"/>
        <v>5801736</v>
      </c>
      <c r="D379" s="24"/>
      <c r="E379" s="24">
        <f>2264*1419</f>
        <v>3212616</v>
      </c>
      <c r="F379" s="24">
        <f>9280*279</f>
        <v>2589120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5"/>
      <c r="AA379" s="25"/>
      <c r="AB379" s="25"/>
      <c r="AC379" s="25"/>
      <c r="AD379" s="25"/>
    </row>
    <row r="380" spans="1:30" ht="15" customHeight="1">
      <c r="A380" s="28">
        <v>539</v>
      </c>
      <c r="B380" s="22" t="str">
        <f>"г. Череповец, ул. Бардина, д. 11"</f>
        <v>г. Череповец, ул. Бардина, д. 11</v>
      </c>
      <c r="C380" s="14">
        <f t="shared" si="9"/>
        <v>1670400</v>
      </c>
      <c r="D380" s="24"/>
      <c r="E380" s="24"/>
      <c r="F380" s="24">
        <f>9280*180</f>
        <v>1670400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5"/>
      <c r="AA380" s="25"/>
      <c r="AB380" s="25"/>
      <c r="AC380" s="25"/>
      <c r="AD380" s="25"/>
    </row>
    <row r="381" spans="1:30" ht="15" customHeight="1">
      <c r="A381" s="28">
        <v>540</v>
      </c>
      <c r="B381" s="22" t="str">
        <f>"г. Череповец, ул. Бардина, д. 13"</f>
        <v>г. Череповец, ул. Бардина, д. 13</v>
      </c>
      <c r="C381" s="14">
        <f t="shared" si="9"/>
        <v>3016000</v>
      </c>
      <c r="D381" s="24"/>
      <c r="E381" s="24"/>
      <c r="F381" s="24">
        <f>9280*325</f>
        <v>3016000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5"/>
      <c r="AA381" s="25"/>
      <c r="AB381" s="25"/>
      <c r="AC381" s="25"/>
      <c r="AD381" s="25"/>
    </row>
    <row r="382" spans="1:30" ht="15" customHeight="1">
      <c r="A382" s="28">
        <v>541</v>
      </c>
      <c r="B382" s="22" t="str">
        <f>"г. Череповец, ул. Бардина, д. 15"</f>
        <v>г. Череповец, ул. Бардина, д. 15</v>
      </c>
      <c r="C382" s="14">
        <f t="shared" si="9"/>
        <v>10881340</v>
      </c>
      <c r="D382" s="24">
        <f>4038*1750</f>
        <v>7066500</v>
      </c>
      <c r="E382" s="24">
        <f>2264*1685</f>
        <v>3814840</v>
      </c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5"/>
      <c r="AA382" s="25"/>
      <c r="AB382" s="25"/>
      <c r="AC382" s="25"/>
      <c r="AD382" s="25"/>
    </row>
    <row r="383" spans="1:30" ht="15" customHeight="1">
      <c r="A383" s="28">
        <v>542</v>
      </c>
      <c r="B383" s="22" t="str">
        <f>"г. Череповец, ул. Бардина, д. 17А"</f>
        <v>г. Череповец, ул. Бардина, д. 17А</v>
      </c>
      <c r="C383" s="14">
        <f t="shared" si="9"/>
        <v>7000288</v>
      </c>
      <c r="D383" s="24"/>
      <c r="E383" s="24">
        <f>2264*3092</f>
        <v>7000288</v>
      </c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5"/>
      <c r="AA383" s="25"/>
      <c r="AB383" s="25"/>
      <c r="AC383" s="25"/>
      <c r="AD383" s="25"/>
    </row>
    <row r="384" spans="1:30" ht="15" customHeight="1">
      <c r="A384" s="28">
        <v>543</v>
      </c>
      <c r="B384" s="22" t="str">
        <f>"г. Череповец, ул. Бардина, д. 19"</f>
        <v>г. Череповец, ул. Бардина, д. 19</v>
      </c>
      <c r="C384" s="14">
        <f t="shared" si="9"/>
        <v>2402220</v>
      </c>
      <c r="D384" s="24"/>
      <c r="E384" s="24"/>
      <c r="F384" s="24"/>
      <c r="G384" s="24">
        <f>300*1796</f>
        <v>538800</v>
      </c>
      <c r="H384" s="24">
        <f>480*2104</f>
        <v>1009920</v>
      </c>
      <c r="I384" s="24">
        <f>300*2845</f>
        <v>853500</v>
      </c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5"/>
      <c r="AA384" s="25"/>
      <c r="AB384" s="25"/>
      <c r="AC384" s="25"/>
      <c r="AD384" s="25"/>
    </row>
    <row r="385" spans="1:30" ht="15" customHeight="1">
      <c r="A385" s="28">
        <v>544</v>
      </c>
      <c r="B385" s="22" t="str">
        <f>"г. Череповец, ул. Бардина, д. 20"</f>
        <v>г. Череповец, ул. Бардина, д. 20</v>
      </c>
      <c r="C385" s="14">
        <f t="shared" si="9"/>
        <v>1830550</v>
      </c>
      <c r="D385" s="24"/>
      <c r="E385" s="24"/>
      <c r="F385" s="24"/>
      <c r="G385" s="24">
        <f>1796*287</f>
        <v>515452</v>
      </c>
      <c r="H385" s="24">
        <f>2104*287</f>
        <v>603848</v>
      </c>
      <c r="I385" s="24">
        <f>2845*250</f>
        <v>711250</v>
      </c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5"/>
      <c r="AA385" s="25"/>
      <c r="AB385" s="25"/>
      <c r="AC385" s="25"/>
      <c r="AD385" s="25"/>
    </row>
    <row r="386" spans="1:30" ht="15" customHeight="1">
      <c r="A386" s="28">
        <v>545</v>
      </c>
      <c r="B386" s="22" t="str">
        <f>"г. Череповец, ул. Бардина, д. 27"</f>
        <v>г. Череповец, ул. Бардина, д. 27</v>
      </c>
      <c r="C386" s="14">
        <f t="shared" si="9"/>
        <v>3183184</v>
      </c>
      <c r="D386" s="24"/>
      <c r="E386" s="24">
        <f>2264*1406</f>
        <v>3183184</v>
      </c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5"/>
      <c r="AA386" s="25"/>
      <c r="AB386" s="25"/>
      <c r="AC386" s="25"/>
      <c r="AD386" s="25"/>
    </row>
    <row r="387" spans="1:30" ht="15" customHeight="1">
      <c r="A387" s="28">
        <v>546</v>
      </c>
      <c r="B387" s="22" t="str">
        <f>"г. Череповец, ул. Бардина, д. 3"</f>
        <v>г. Череповец, ул. Бардина, д. 3</v>
      </c>
      <c r="C387" s="14">
        <f t="shared" si="9"/>
        <v>3814840</v>
      </c>
      <c r="D387" s="24"/>
      <c r="E387" s="24">
        <f>2264*1685</f>
        <v>3814840</v>
      </c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5"/>
      <c r="AA387" s="25"/>
      <c r="AB387" s="25"/>
      <c r="AC387" s="25"/>
      <c r="AD387" s="25"/>
    </row>
    <row r="388" spans="1:30" ht="15" customHeight="1">
      <c r="A388" s="28">
        <v>547</v>
      </c>
      <c r="B388" s="22" t="str">
        <f>"г. Череповец, ул. Бардина, д. 31"</f>
        <v>г. Череповец, ул. Бардина, д. 31</v>
      </c>
      <c r="C388" s="14">
        <f t="shared" si="9"/>
        <v>3183184</v>
      </c>
      <c r="D388" s="24"/>
      <c r="E388" s="24">
        <f>2264*1406</f>
        <v>3183184</v>
      </c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5"/>
      <c r="AA388" s="25"/>
      <c r="AB388" s="25"/>
      <c r="AC388" s="25"/>
      <c r="AD388" s="25"/>
    </row>
    <row r="389" spans="1:30" ht="15" customHeight="1">
      <c r="A389" s="28">
        <v>548</v>
      </c>
      <c r="B389" s="22" t="str">
        <f>"г. Череповец, ул. Бардина, д. 9"</f>
        <v>г. Череповец, ул. Бардина, д. 9</v>
      </c>
      <c r="C389" s="14">
        <f t="shared" si="9"/>
        <v>3684160</v>
      </c>
      <c r="D389" s="24"/>
      <c r="E389" s="24"/>
      <c r="F389" s="24">
        <f>9280*397</f>
        <v>3684160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5"/>
      <c r="AA389" s="25"/>
      <c r="AB389" s="25"/>
      <c r="AC389" s="25"/>
      <c r="AD389" s="25"/>
    </row>
    <row r="390" spans="1:30" ht="15" customHeight="1">
      <c r="A390" s="28">
        <v>549</v>
      </c>
      <c r="B390" s="22" t="str">
        <f>"г. Череповец, ул. Боршодская, д. 16"</f>
        <v>г. Череповец, ул. Боршодская, д. 16</v>
      </c>
      <c r="C390" s="14">
        <f t="shared" si="9"/>
        <v>1404669</v>
      </c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>
        <f>1115908+1*288761</f>
        <v>1404669</v>
      </c>
      <c r="V390" s="24"/>
      <c r="W390" s="24"/>
      <c r="X390" s="24"/>
      <c r="Y390" s="24"/>
      <c r="Z390" s="25"/>
      <c r="AA390" s="25"/>
      <c r="AB390" s="25"/>
      <c r="AC390" s="25"/>
      <c r="AD390" s="25"/>
    </row>
    <row r="391" spans="1:30" ht="15" customHeight="1">
      <c r="A391" s="28">
        <v>550</v>
      </c>
      <c r="B391" s="22" t="str">
        <f>"г. Череповец, ул. Боршодская, д. 28"</f>
        <v>г. Череповец, ул. Боршодская, д. 28</v>
      </c>
      <c r="C391" s="14">
        <f t="shared" si="9"/>
        <v>1404669</v>
      </c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>
        <f>1115908+1*288761</f>
        <v>1404669</v>
      </c>
      <c r="V391" s="24"/>
      <c r="W391" s="24"/>
      <c r="X391" s="24"/>
      <c r="Y391" s="24"/>
      <c r="Z391" s="25"/>
      <c r="AA391" s="25"/>
      <c r="AB391" s="25"/>
      <c r="AC391" s="25"/>
      <c r="AD391" s="25"/>
    </row>
    <row r="392" spans="1:30" ht="15" customHeight="1">
      <c r="A392" s="28">
        <v>551</v>
      </c>
      <c r="B392" s="22" t="str">
        <f>"г. Череповец, ул. Боршодская, д. 38"</f>
        <v>г. Череповец, ул. Боршодская, д. 38</v>
      </c>
      <c r="C392" s="14">
        <f t="shared" si="9"/>
        <v>1404669</v>
      </c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>
        <f>1115908+1*288761</f>
        <v>1404669</v>
      </c>
      <c r="V392" s="24"/>
      <c r="W392" s="24"/>
      <c r="X392" s="24"/>
      <c r="Y392" s="24"/>
      <c r="Z392" s="25"/>
      <c r="AA392" s="25"/>
      <c r="AB392" s="25"/>
      <c r="AC392" s="25"/>
      <c r="AD392" s="25"/>
    </row>
    <row r="393" spans="1:30" ht="15" customHeight="1">
      <c r="A393" s="28">
        <v>552</v>
      </c>
      <c r="B393" s="22" t="str">
        <f>"г. Череповец, ул. Верещагина, д. 40"</f>
        <v>г. Череповец, ул. Верещагина, д. 40</v>
      </c>
      <c r="C393" s="14">
        <f t="shared" si="9"/>
        <v>860320</v>
      </c>
      <c r="D393" s="24"/>
      <c r="E393" s="24">
        <f>2264*380</f>
        <v>860320</v>
      </c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5"/>
      <c r="AA393" s="25"/>
      <c r="AB393" s="25"/>
      <c r="AC393" s="25"/>
      <c r="AD393" s="25"/>
    </row>
    <row r="394" spans="1:30" ht="15" customHeight="1">
      <c r="A394" s="28">
        <v>553</v>
      </c>
      <c r="B394" s="22" t="str">
        <f>"г. Череповец, ул. Верещагина, д. 53"</f>
        <v>г. Череповец, ул. Верещагина, д. 53</v>
      </c>
      <c r="C394" s="14">
        <f t="shared" si="9"/>
        <v>1707384.7999999998</v>
      </c>
      <c r="D394" s="24"/>
      <c r="E394" s="24"/>
      <c r="F394" s="24"/>
      <c r="G394" s="24"/>
      <c r="H394" s="24"/>
      <c r="I394" s="24"/>
      <c r="J394" s="24"/>
      <c r="K394" s="24"/>
      <c r="L394" s="24">
        <v>343.4</v>
      </c>
      <c r="M394" s="24">
        <f>4972*L394</f>
        <v>1707384.7999999998</v>
      </c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5"/>
      <c r="AA394" s="25"/>
      <c r="AB394" s="25"/>
      <c r="AC394" s="25"/>
      <c r="AD394" s="25"/>
    </row>
    <row r="395" spans="1:30" ht="15" customHeight="1">
      <c r="A395" s="28">
        <v>554</v>
      </c>
      <c r="B395" s="22" t="str">
        <f>"г. Череповец, ул. Верещагина, д. 55"</f>
        <v>г. Череповец, ул. Верещагина, д. 55</v>
      </c>
      <c r="C395" s="14">
        <f t="shared" si="9"/>
        <v>3266560</v>
      </c>
      <c r="D395" s="24"/>
      <c r="E395" s="24"/>
      <c r="F395" s="24">
        <f>352*9280</f>
        <v>3266560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5"/>
      <c r="AA395" s="25"/>
      <c r="AB395" s="25"/>
      <c r="AC395" s="25"/>
      <c r="AD395" s="25"/>
    </row>
    <row r="396" spans="1:30" ht="15" customHeight="1">
      <c r="A396" s="28">
        <v>555</v>
      </c>
      <c r="B396" s="22" t="str">
        <f>"г. Череповец, ул. Весенняя, д. 1А"</f>
        <v>г. Череповец, ул. Весенняя, д. 1А</v>
      </c>
      <c r="C396" s="14">
        <f t="shared" si="9"/>
        <v>3654096</v>
      </c>
      <c r="D396" s="24"/>
      <c r="E396" s="24">
        <f>2264*1614</f>
        <v>3654096</v>
      </c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5"/>
      <c r="AA396" s="25"/>
      <c r="AB396" s="25"/>
      <c r="AC396" s="25"/>
      <c r="AD396" s="25"/>
    </row>
    <row r="397" spans="1:30" ht="15" customHeight="1">
      <c r="A397" s="28">
        <v>556</v>
      </c>
      <c r="B397" s="22" t="str">
        <f>"г. Череповец, ул. Весенняя, д. 3"</f>
        <v>г. Череповец, ул. Весенняя, д. 3</v>
      </c>
      <c r="C397" s="14">
        <f t="shared" si="9"/>
        <v>3452600</v>
      </c>
      <c r="D397" s="24"/>
      <c r="E397" s="24">
        <f>2264*1525</f>
        <v>3452600</v>
      </c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5"/>
      <c r="AA397" s="25"/>
      <c r="AB397" s="25"/>
      <c r="AC397" s="25"/>
      <c r="AD397" s="25"/>
    </row>
    <row r="398" spans="1:30" ht="15" customHeight="1">
      <c r="A398" s="28">
        <v>557</v>
      </c>
      <c r="B398" s="22" t="str">
        <f>"г. Череповец, ул. Весенняя, д. 5"</f>
        <v>г. Череповец, ул. Весенняя, д. 5</v>
      </c>
      <c r="C398" s="14">
        <f t="shared" si="9"/>
        <v>3452600</v>
      </c>
      <c r="D398" s="24"/>
      <c r="E398" s="24">
        <f>2264*1525</f>
        <v>3452600</v>
      </c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5"/>
      <c r="AA398" s="25"/>
      <c r="AB398" s="25"/>
      <c r="AC398" s="25"/>
      <c r="AD398" s="25"/>
    </row>
    <row r="399" spans="1:30" ht="15" customHeight="1">
      <c r="A399" s="28">
        <v>558</v>
      </c>
      <c r="B399" s="22" t="str">
        <f>"г. Череповец, ул. Весенняя, д. 7"</f>
        <v>г. Череповец, ул. Весенняя, д. 7</v>
      </c>
      <c r="C399" s="14">
        <f t="shared" si="9"/>
        <v>9908776</v>
      </c>
      <c r="D399" s="24"/>
      <c r="E399" s="24">
        <f>2264*2319</f>
        <v>5250216</v>
      </c>
      <c r="F399" s="24">
        <f>9280*502</f>
        <v>4658560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5"/>
      <c r="AA399" s="25"/>
      <c r="AB399" s="25"/>
      <c r="AC399" s="25"/>
      <c r="AD399" s="25"/>
    </row>
    <row r="400" spans="1:30" ht="15" customHeight="1">
      <c r="A400" s="28">
        <v>559</v>
      </c>
      <c r="B400" s="22" t="str">
        <f>"г. Череповец, ул. Вологодская, д. 19"</f>
        <v>г. Череповец, ул. Вологодская, д. 19</v>
      </c>
      <c r="C400" s="14">
        <f t="shared" si="9"/>
        <v>4138880</v>
      </c>
      <c r="D400" s="24"/>
      <c r="E400" s="24"/>
      <c r="F400" s="24">
        <f>9280*446</f>
        <v>4138880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5"/>
      <c r="AA400" s="25"/>
      <c r="AB400" s="25"/>
      <c r="AC400" s="25"/>
      <c r="AD400" s="25"/>
    </row>
    <row r="401" spans="1:30" ht="15" customHeight="1">
      <c r="A401" s="28">
        <v>560</v>
      </c>
      <c r="B401" s="22" t="str">
        <f>"г. Череповец, ул. Вологодская, д. 24"</f>
        <v>г. Череповец, ул. Вологодская, д. 24</v>
      </c>
      <c r="C401" s="14">
        <f t="shared" si="9"/>
        <v>288761</v>
      </c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>
        <v>288761</v>
      </c>
      <c r="V401" s="24"/>
      <c r="W401" s="24"/>
      <c r="X401" s="24"/>
      <c r="Y401" s="24"/>
      <c r="Z401" s="25"/>
      <c r="AA401" s="25"/>
      <c r="AB401" s="25"/>
      <c r="AC401" s="25"/>
      <c r="AD401" s="25"/>
    </row>
    <row r="402" spans="1:30" ht="15" customHeight="1">
      <c r="A402" s="28">
        <v>561</v>
      </c>
      <c r="B402" s="22" t="str">
        <f>"г. Череповец, ул. Вологодская, д. 4"</f>
        <v>г. Череповец, ул. Вологодская, д. 4</v>
      </c>
      <c r="C402" s="14">
        <f t="shared" si="9"/>
        <v>1421310</v>
      </c>
      <c r="D402" s="24"/>
      <c r="E402" s="24"/>
      <c r="F402" s="24"/>
      <c r="G402" s="24">
        <f>220*1796</f>
        <v>395120</v>
      </c>
      <c r="H402" s="24">
        <f>220*2104</f>
        <v>462880</v>
      </c>
      <c r="I402" s="24">
        <f>198*2845</f>
        <v>563310</v>
      </c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5"/>
      <c r="AA402" s="25"/>
      <c r="AB402" s="25"/>
      <c r="AC402" s="25"/>
      <c r="AD402" s="25"/>
    </row>
    <row r="403" spans="1:30" ht="15" customHeight="1">
      <c r="A403" s="28">
        <v>562</v>
      </c>
      <c r="B403" s="22" t="str">
        <f>"г. Череповец, ул. Гагарина, д. 14"</f>
        <v>г. Череповец, ул. Гагарина, д. 14</v>
      </c>
      <c r="C403" s="14">
        <f aca="true" t="shared" si="10" ref="C403:C466">D403+E403+F403+G403+H403+I403+K403+M403+O403+Q403+S403+U403+T403+V403+W403+X403+Y403+Z403+AA403+AB403+AC403+AD403</f>
        <v>288761</v>
      </c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>
        <v>288761</v>
      </c>
      <c r="V403" s="24"/>
      <c r="W403" s="24"/>
      <c r="X403" s="24"/>
      <c r="Y403" s="24"/>
      <c r="Z403" s="25"/>
      <c r="AA403" s="25"/>
      <c r="AB403" s="25"/>
      <c r="AC403" s="25"/>
      <c r="AD403" s="25"/>
    </row>
    <row r="404" spans="1:30" ht="15" customHeight="1">
      <c r="A404" s="28">
        <v>563</v>
      </c>
      <c r="B404" s="22" t="str">
        <f>"г. Череповец, ул. Гагарина, д. 16"</f>
        <v>г. Череповец, ул. Гагарина, д. 16</v>
      </c>
      <c r="C404" s="14">
        <f t="shared" si="10"/>
        <v>4031297.5999999996</v>
      </c>
      <c r="D404" s="24"/>
      <c r="E404" s="24"/>
      <c r="F404" s="24"/>
      <c r="G404" s="24"/>
      <c r="H404" s="24"/>
      <c r="I404" s="24"/>
      <c r="J404" s="24"/>
      <c r="K404" s="24"/>
      <c r="L404" s="24">
        <v>810.8</v>
      </c>
      <c r="M404" s="24">
        <f>4972*L404</f>
        <v>4031297.5999999996</v>
      </c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5"/>
      <c r="AA404" s="25"/>
      <c r="AB404" s="25"/>
      <c r="AC404" s="25"/>
      <c r="AD404" s="25"/>
    </row>
    <row r="405" spans="1:30" ht="15" customHeight="1">
      <c r="A405" s="28">
        <v>564</v>
      </c>
      <c r="B405" s="22" t="str">
        <f>"г. Череповец, ул. Гоголя, д. 19"</f>
        <v>г. Череповец, ул. Гоголя, д. 19</v>
      </c>
      <c r="C405" s="14">
        <f t="shared" si="10"/>
        <v>1404669</v>
      </c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>
        <f>1115908+288761*1</f>
        <v>1404669</v>
      </c>
      <c r="V405" s="24"/>
      <c r="W405" s="24"/>
      <c r="X405" s="24"/>
      <c r="Y405" s="24"/>
      <c r="Z405" s="25"/>
      <c r="AA405" s="25"/>
      <c r="AB405" s="25"/>
      <c r="AC405" s="25"/>
      <c r="AD405" s="25"/>
    </row>
    <row r="406" spans="1:30" ht="15" customHeight="1">
      <c r="A406" s="28">
        <v>565</v>
      </c>
      <c r="B406" s="22" t="str">
        <f>"г. Череповец, ул. Годовикова, д. 24, корп.1"</f>
        <v>г. Череповец, ул. Годовикова, д. 24, корп.1</v>
      </c>
      <c r="C406" s="14">
        <f t="shared" si="10"/>
        <v>7586460</v>
      </c>
      <c r="D406" s="24"/>
      <c r="E406" s="24"/>
      <c r="F406" s="24"/>
      <c r="G406" s="24"/>
      <c r="H406" s="24"/>
      <c r="I406" s="24"/>
      <c r="J406" s="24"/>
      <c r="K406" s="24"/>
      <c r="L406" s="24">
        <f>1944/2</f>
        <v>972</v>
      </c>
      <c r="M406" s="24">
        <f>7805*L406</f>
        <v>7586460</v>
      </c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5"/>
      <c r="AA406" s="25"/>
      <c r="AB406" s="25"/>
      <c r="AC406" s="25"/>
      <c r="AD406" s="25"/>
    </row>
    <row r="407" spans="1:30" ht="15" customHeight="1">
      <c r="A407" s="28">
        <v>566</v>
      </c>
      <c r="B407" s="22" t="str">
        <f>"г. Череповец, ул. Годовикова, д. 24"</f>
        <v>г. Череповец, ул. Годовикова, д. 24</v>
      </c>
      <c r="C407" s="14">
        <f t="shared" si="10"/>
        <v>7586460</v>
      </c>
      <c r="D407" s="24"/>
      <c r="E407" s="24"/>
      <c r="F407" s="24"/>
      <c r="G407" s="24"/>
      <c r="H407" s="24"/>
      <c r="I407" s="24"/>
      <c r="J407" s="24"/>
      <c r="K407" s="24"/>
      <c r="L407" s="24">
        <f>1944/2</f>
        <v>972</v>
      </c>
      <c r="M407" s="24">
        <f>7805*L407</f>
        <v>7586460</v>
      </c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5"/>
      <c r="AA407" s="25"/>
      <c r="AB407" s="25"/>
      <c r="AC407" s="25"/>
      <c r="AD407" s="25"/>
    </row>
    <row r="408" spans="1:30" ht="15" customHeight="1">
      <c r="A408" s="28">
        <v>567</v>
      </c>
      <c r="B408" s="22" t="str">
        <f>"г. Череповец, ул. Годовикова, д. 4"</f>
        <v>г. Череповец, ул. Годовикова, д. 4</v>
      </c>
      <c r="C408" s="14">
        <f t="shared" si="10"/>
        <v>26343436</v>
      </c>
      <c r="D408" s="24"/>
      <c r="E408" s="24"/>
      <c r="F408" s="24"/>
      <c r="G408" s="24"/>
      <c r="H408" s="24"/>
      <c r="I408" s="24"/>
      <c r="J408" s="24"/>
      <c r="K408" s="24"/>
      <c r="L408" s="24">
        <v>3375.2</v>
      </c>
      <c r="M408" s="24">
        <f>L408*7805</f>
        <v>26343436</v>
      </c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5"/>
      <c r="AA408" s="25"/>
      <c r="AB408" s="25"/>
      <c r="AC408" s="25"/>
      <c r="AD408" s="25"/>
    </row>
    <row r="409" spans="1:30" ht="15" customHeight="1">
      <c r="A409" s="28">
        <v>568</v>
      </c>
      <c r="B409" s="22" t="str">
        <f>"г. Череповец, ул. Данилова, д. 26"</f>
        <v>г. Череповец, ул. Данилова, д. 26</v>
      </c>
      <c r="C409" s="14">
        <f t="shared" si="10"/>
        <v>4845600</v>
      </c>
      <c r="D409" s="24">
        <f>4038*1200</f>
        <v>4845600</v>
      </c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5"/>
      <c r="AA409" s="25"/>
      <c r="AB409" s="25"/>
      <c r="AC409" s="25"/>
      <c r="AD409" s="25"/>
    </row>
    <row r="410" spans="1:30" ht="15" customHeight="1">
      <c r="A410" s="28">
        <v>569</v>
      </c>
      <c r="B410" s="22" t="str">
        <f>"г. Череповец, ул. К.Белова, д. 7"</f>
        <v>г. Череповец, ул. К.Белова, д. 7</v>
      </c>
      <c r="C410" s="14">
        <f t="shared" si="10"/>
        <v>759136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>
        <f>759136</f>
        <v>759136</v>
      </c>
      <c r="Y410" s="24"/>
      <c r="Z410" s="25"/>
      <c r="AA410" s="25"/>
      <c r="AB410" s="25"/>
      <c r="AC410" s="25"/>
      <c r="AD410" s="25"/>
    </row>
    <row r="411" spans="1:31" ht="15" customHeight="1">
      <c r="A411" s="28">
        <v>570</v>
      </c>
      <c r="B411" s="12" t="s">
        <v>102</v>
      </c>
      <c r="C411" s="14">
        <f t="shared" si="10"/>
        <v>504636.53</v>
      </c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>
        <v>504636.53</v>
      </c>
      <c r="V411" s="13"/>
      <c r="W411" s="13"/>
      <c r="X411" s="13"/>
      <c r="Y411" s="13"/>
      <c r="Z411" s="20"/>
      <c r="AA411" s="20"/>
      <c r="AB411" s="20"/>
      <c r="AC411" s="20"/>
      <c r="AD411" s="20"/>
      <c r="AE411" s="21"/>
    </row>
    <row r="412" spans="1:30" ht="15" customHeight="1">
      <c r="A412" s="28">
        <v>571</v>
      </c>
      <c r="B412" s="22" t="str">
        <f>"г. Череповец, ул. К.Белова, д. 43"</f>
        <v>г. Череповец, ул. К.Белова, д. 43</v>
      </c>
      <c r="C412" s="14">
        <f t="shared" si="10"/>
        <v>759136</v>
      </c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>
        <f>759136</f>
        <v>759136</v>
      </c>
      <c r="Y412" s="24"/>
      <c r="Z412" s="25"/>
      <c r="AA412" s="25"/>
      <c r="AB412" s="25"/>
      <c r="AC412" s="25"/>
      <c r="AD412" s="25"/>
    </row>
    <row r="413" spans="1:30" ht="15" customHeight="1">
      <c r="A413" s="28">
        <v>572</v>
      </c>
      <c r="B413" s="22" t="str">
        <f>"г. Череповец, ул. К.Белова, д. 45"</f>
        <v>г. Череповец, ул. К.Белова, д. 45</v>
      </c>
      <c r="C413" s="14">
        <f t="shared" si="10"/>
        <v>759136</v>
      </c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>
        <f>759136</f>
        <v>759136</v>
      </c>
      <c r="Y413" s="24"/>
      <c r="Z413" s="25"/>
      <c r="AA413" s="25"/>
      <c r="AB413" s="25"/>
      <c r="AC413" s="25"/>
      <c r="AD413" s="25"/>
    </row>
    <row r="414" spans="1:31" ht="15" customHeight="1">
      <c r="A414" s="28">
        <v>573</v>
      </c>
      <c r="B414" s="12" t="str">
        <f>"г. Череповец, ул. К.Беляева, д. 2/82"</f>
        <v>г. Череповец, ул. К.Беляева, д. 2/82</v>
      </c>
      <c r="C414" s="14">
        <f t="shared" si="10"/>
        <v>288761</v>
      </c>
      <c r="D414" s="13"/>
      <c r="E414" s="13"/>
      <c r="F414" s="13"/>
      <c r="G414" s="13"/>
      <c r="H414" s="13"/>
      <c r="I414" s="13"/>
      <c r="J414" s="13"/>
      <c r="K414" s="13">
        <v>0</v>
      </c>
      <c r="L414" s="13"/>
      <c r="M414" s="13"/>
      <c r="N414" s="13"/>
      <c r="O414" s="13"/>
      <c r="P414" s="13"/>
      <c r="Q414" s="13"/>
      <c r="R414" s="13"/>
      <c r="S414" s="13"/>
      <c r="T414" s="13"/>
      <c r="U414" s="13">
        <f>1*288761</f>
        <v>288761</v>
      </c>
      <c r="V414" s="13"/>
      <c r="W414" s="13"/>
      <c r="X414" s="13"/>
      <c r="Y414" s="13"/>
      <c r="Z414" s="20"/>
      <c r="AA414" s="20"/>
      <c r="AB414" s="20"/>
      <c r="AC414" s="20"/>
      <c r="AD414" s="20"/>
      <c r="AE414" s="21"/>
    </row>
    <row r="415" spans="1:30" ht="15" customHeight="1">
      <c r="A415" s="28">
        <v>574</v>
      </c>
      <c r="B415" s="22" t="str">
        <f>"г. Череповец, ул. К.Беляева, д. 35"</f>
        <v>г. Череповец, ул. К.Беляева, д. 35</v>
      </c>
      <c r="C415" s="14">
        <f t="shared" si="10"/>
        <v>11707500</v>
      </c>
      <c r="D415" s="24"/>
      <c r="E415" s="24"/>
      <c r="F415" s="24"/>
      <c r="G415" s="24"/>
      <c r="H415" s="24"/>
      <c r="I415" s="24"/>
      <c r="J415" s="24"/>
      <c r="K415" s="24"/>
      <c r="L415" s="24">
        <v>1500</v>
      </c>
      <c r="M415" s="24">
        <f>7805*1500</f>
        <v>11707500</v>
      </c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5"/>
      <c r="AA415" s="25"/>
      <c r="AB415" s="25"/>
      <c r="AC415" s="25"/>
      <c r="AD415" s="25"/>
    </row>
    <row r="416" spans="1:30" ht="15" customHeight="1">
      <c r="A416" s="28">
        <v>575</v>
      </c>
      <c r="B416" s="22" t="str">
        <f>"г. Череповец, ул. К.Беляева, д. 8"</f>
        <v>г. Череповец, ул. К.Беляева, д. 8</v>
      </c>
      <c r="C416" s="14">
        <f t="shared" si="10"/>
        <v>5134361</v>
      </c>
      <c r="D416" s="24">
        <f>4038*1200</f>
        <v>4845600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>
        <f>1*288761</f>
        <v>288761</v>
      </c>
      <c r="V416" s="24"/>
      <c r="W416" s="24"/>
      <c r="X416" s="24"/>
      <c r="Y416" s="24"/>
      <c r="Z416" s="25"/>
      <c r="AA416" s="25"/>
      <c r="AB416" s="25"/>
      <c r="AC416" s="25"/>
      <c r="AD416" s="25"/>
    </row>
    <row r="417" spans="1:30" ht="15" customHeight="1">
      <c r="A417" s="28">
        <v>576</v>
      </c>
      <c r="B417" s="22" t="str">
        <f>"г. Череповец, ул. К.Маркса, д. 72А"</f>
        <v>г. Череповец, ул. К.Маркса, д. 72А</v>
      </c>
      <c r="C417" s="14">
        <f t="shared" si="10"/>
        <v>1491250</v>
      </c>
      <c r="D417" s="24"/>
      <c r="E417" s="24"/>
      <c r="F417" s="24"/>
      <c r="G417" s="24">
        <f>200*1796</f>
        <v>359200</v>
      </c>
      <c r="H417" s="24">
        <f>200*2104</f>
        <v>420800</v>
      </c>
      <c r="I417" s="24">
        <f>250*2845</f>
        <v>711250</v>
      </c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5"/>
      <c r="AA417" s="25"/>
      <c r="AB417" s="25"/>
      <c r="AC417" s="25"/>
      <c r="AD417" s="25"/>
    </row>
    <row r="418" spans="1:30" ht="15" customHeight="1">
      <c r="A418" s="28">
        <v>577</v>
      </c>
      <c r="B418" s="22" t="str">
        <f>"г. Череповец, ул. К.Маркса, д. 78"</f>
        <v>г. Череповец, ул. К.Маркса, д. 78</v>
      </c>
      <c r="C418" s="14">
        <f t="shared" si="10"/>
        <v>1889360</v>
      </c>
      <c r="D418" s="24"/>
      <c r="E418" s="24"/>
      <c r="F418" s="24"/>
      <c r="G418" s="24"/>
      <c r="H418" s="24"/>
      <c r="I418" s="24"/>
      <c r="J418" s="24"/>
      <c r="K418" s="24"/>
      <c r="L418" s="24">
        <v>380</v>
      </c>
      <c r="M418" s="24">
        <f>4972*L418</f>
        <v>1889360</v>
      </c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5"/>
      <c r="AA418" s="25"/>
      <c r="AB418" s="25"/>
      <c r="AC418" s="25"/>
      <c r="AD418" s="25"/>
    </row>
    <row r="419" spans="1:30" ht="15" customHeight="1">
      <c r="A419" s="28">
        <v>578</v>
      </c>
      <c r="B419" s="22" t="str">
        <f>"г. Череповец, ул. Коллективная, д. 10"</f>
        <v>г. Череповец, ул. Коллективная, д. 10</v>
      </c>
      <c r="C419" s="14">
        <f t="shared" si="10"/>
        <v>821832</v>
      </c>
      <c r="D419" s="24"/>
      <c r="E419" s="24">
        <f>2264*363</f>
        <v>821832</v>
      </c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5"/>
      <c r="AA419" s="25"/>
      <c r="AB419" s="25"/>
      <c r="AC419" s="25"/>
      <c r="AD419" s="25"/>
    </row>
    <row r="420" spans="1:30" ht="15" customHeight="1">
      <c r="A420" s="28">
        <v>579</v>
      </c>
      <c r="B420" s="22" t="str">
        <f>"г. Череповец, ул. Коллективная, д. 10А"</f>
        <v>г. Череповец, ул. Коллективная, д. 10А</v>
      </c>
      <c r="C420" s="14">
        <f t="shared" si="10"/>
        <v>749384</v>
      </c>
      <c r="D420" s="24"/>
      <c r="E420" s="24">
        <f>2264*331</f>
        <v>749384</v>
      </c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5"/>
      <c r="AA420" s="25"/>
      <c r="AB420" s="25"/>
      <c r="AC420" s="25"/>
      <c r="AD420" s="25"/>
    </row>
    <row r="421" spans="1:30" ht="15" customHeight="1">
      <c r="A421" s="28">
        <v>580</v>
      </c>
      <c r="B421" s="22" t="str">
        <f>"г. Череповец, ул. Коллективная, д. 11"</f>
        <v>г. Череповец, ул. Коллективная, д. 11</v>
      </c>
      <c r="C421" s="14">
        <f t="shared" si="10"/>
        <v>749384</v>
      </c>
      <c r="D421" s="24"/>
      <c r="E421" s="24">
        <f>2264*331</f>
        <v>749384</v>
      </c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5"/>
      <c r="AA421" s="25"/>
      <c r="AB421" s="25"/>
      <c r="AC421" s="25"/>
      <c r="AD421" s="25"/>
    </row>
    <row r="422" spans="1:30" ht="15" customHeight="1">
      <c r="A422" s="28">
        <v>581</v>
      </c>
      <c r="B422" s="22" t="str">
        <f>"г. Череповец, ул. Коллективная, д. 11А"</f>
        <v>г. Череповец, ул. Коллективная, д. 11А</v>
      </c>
      <c r="C422" s="14">
        <f t="shared" si="10"/>
        <v>749384</v>
      </c>
      <c r="D422" s="24"/>
      <c r="E422" s="24">
        <f>2264*331</f>
        <v>749384</v>
      </c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5"/>
      <c r="AA422" s="25"/>
      <c r="AB422" s="25"/>
      <c r="AC422" s="25"/>
      <c r="AD422" s="25"/>
    </row>
    <row r="423" spans="1:30" ht="15" customHeight="1">
      <c r="A423" s="28">
        <v>582</v>
      </c>
      <c r="B423" s="22" t="str">
        <f>"г. Череповец, ул. Коллективная, д. 13А"</f>
        <v>г. Череповец, ул. Коллективная, д. 13А</v>
      </c>
      <c r="C423" s="14">
        <f t="shared" si="10"/>
        <v>749384</v>
      </c>
      <c r="D423" s="24"/>
      <c r="E423" s="24">
        <f>2264*331</f>
        <v>749384</v>
      </c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5"/>
      <c r="AA423" s="25"/>
      <c r="AB423" s="25"/>
      <c r="AC423" s="25"/>
      <c r="AD423" s="25"/>
    </row>
    <row r="424" spans="1:30" ht="15" customHeight="1">
      <c r="A424" s="28">
        <v>583</v>
      </c>
      <c r="B424" s="22" t="str">
        <f>"г. Череповец, ул. Коллективная, д. 14"</f>
        <v>г. Череповец, ул. Коллективная, д. 14</v>
      </c>
      <c r="C424" s="14">
        <f t="shared" si="10"/>
        <v>271680</v>
      </c>
      <c r="D424" s="24"/>
      <c r="E424" s="24">
        <f>120*2264</f>
        <v>271680</v>
      </c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5"/>
      <c r="AA424" s="25"/>
      <c r="AB424" s="25"/>
      <c r="AC424" s="25"/>
      <c r="AD424" s="25"/>
    </row>
    <row r="425" spans="1:30" ht="15" customHeight="1">
      <c r="A425" s="28">
        <v>584</v>
      </c>
      <c r="B425" s="22" t="str">
        <f>"г. Череповец, ул. Коллективная, д. 14А"</f>
        <v>г. Череповец, ул. Коллективная, д. 14А</v>
      </c>
      <c r="C425" s="14">
        <f t="shared" si="10"/>
        <v>749384</v>
      </c>
      <c r="D425" s="24"/>
      <c r="E425" s="24">
        <f>2264*331</f>
        <v>749384</v>
      </c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5"/>
      <c r="AA425" s="25"/>
      <c r="AB425" s="25"/>
      <c r="AC425" s="25"/>
      <c r="AD425" s="25"/>
    </row>
    <row r="426" spans="1:30" ht="15" customHeight="1">
      <c r="A426" s="28">
        <v>585</v>
      </c>
      <c r="B426" s="22" t="str">
        <f>"г. Череповец, ул. Коллективная, д. 15"</f>
        <v>г. Череповец, ул. Коллективная, д. 15</v>
      </c>
      <c r="C426" s="14">
        <f t="shared" si="10"/>
        <v>749384</v>
      </c>
      <c r="D426" s="24"/>
      <c r="E426" s="24">
        <f>2264*331</f>
        <v>749384</v>
      </c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5"/>
      <c r="AA426" s="25"/>
      <c r="AB426" s="25"/>
      <c r="AC426" s="25"/>
      <c r="AD426" s="25"/>
    </row>
    <row r="427" spans="1:30" ht="15" customHeight="1">
      <c r="A427" s="28">
        <v>586</v>
      </c>
      <c r="B427" s="22" t="str">
        <f>"г. Череповец, ул. Коллективная, д. 15А"</f>
        <v>г. Череповец, ул. Коллективная, д. 15А</v>
      </c>
      <c r="C427" s="14">
        <f t="shared" si="10"/>
        <v>646080</v>
      </c>
      <c r="D427" s="24">
        <f>4038*160</f>
        <v>646080</v>
      </c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5"/>
      <c r="AA427" s="25"/>
      <c r="AB427" s="25"/>
      <c r="AC427" s="25"/>
      <c r="AD427" s="25"/>
    </row>
    <row r="428" spans="1:30" ht="15" customHeight="1">
      <c r="A428" s="28">
        <v>587</v>
      </c>
      <c r="B428" s="22" t="str">
        <f>"г. Череповец, ул. Коллективная, д. 16"</f>
        <v>г. Череповец, ул. Коллективная, д. 16</v>
      </c>
      <c r="C428" s="14">
        <f t="shared" si="10"/>
        <v>749384</v>
      </c>
      <c r="D428" s="24"/>
      <c r="E428" s="24">
        <f>2264*331</f>
        <v>749384</v>
      </c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5"/>
      <c r="AA428" s="25"/>
      <c r="AB428" s="25"/>
      <c r="AC428" s="25"/>
      <c r="AD428" s="25"/>
    </row>
    <row r="429" spans="1:30" ht="15" customHeight="1">
      <c r="A429" s="28">
        <v>588</v>
      </c>
      <c r="B429" s="22" t="str">
        <f>"г. Череповец, ул. Комсомольская, д. 17"</f>
        <v>г. Череповец, ул. Комсомольская, д. 17</v>
      </c>
      <c r="C429" s="14">
        <f t="shared" si="10"/>
        <v>288761</v>
      </c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>
        <v>288761</v>
      </c>
      <c r="V429" s="24"/>
      <c r="W429" s="24"/>
      <c r="X429" s="24"/>
      <c r="Y429" s="24"/>
      <c r="Z429" s="25"/>
      <c r="AA429" s="25"/>
      <c r="AB429" s="25"/>
      <c r="AC429" s="25"/>
      <c r="AD429" s="25"/>
    </row>
    <row r="430" spans="1:30" ht="15" customHeight="1">
      <c r="A430" s="28">
        <v>589</v>
      </c>
      <c r="B430" s="22" t="str">
        <f>"г. Череповец, ул. Комсомольская, д. 21"</f>
        <v>г. Череповец, ул. Комсомольская, д. 21</v>
      </c>
      <c r="C430" s="14">
        <f t="shared" si="10"/>
        <v>2360750</v>
      </c>
      <c r="D430" s="24"/>
      <c r="E430" s="24"/>
      <c r="F430" s="24"/>
      <c r="G430" s="24">
        <f>1796*350</f>
        <v>628600</v>
      </c>
      <c r="H430" s="24">
        <f>2104*350</f>
        <v>736400</v>
      </c>
      <c r="I430" s="24">
        <f>2845*350</f>
        <v>995750</v>
      </c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5"/>
      <c r="AA430" s="25"/>
      <c r="AB430" s="25"/>
      <c r="AC430" s="25"/>
      <c r="AD430" s="25"/>
    </row>
    <row r="431" spans="1:30" ht="15" customHeight="1">
      <c r="A431" s="28">
        <v>590</v>
      </c>
      <c r="B431" s="22" t="str">
        <f>"г. Череповец, ул. Красная, д. 1А"</f>
        <v>г. Череповец, ул. Красная, д. 1А</v>
      </c>
      <c r="C431" s="14">
        <f t="shared" si="10"/>
        <v>288761</v>
      </c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>
        <v>288761</v>
      </c>
      <c r="V431" s="24"/>
      <c r="W431" s="24"/>
      <c r="X431" s="24"/>
      <c r="Y431" s="24"/>
      <c r="Z431" s="25"/>
      <c r="AA431" s="25"/>
      <c r="AB431" s="25"/>
      <c r="AC431" s="25"/>
      <c r="AD431" s="25"/>
    </row>
    <row r="432" spans="1:30" ht="15" customHeight="1">
      <c r="A432" s="28">
        <v>591</v>
      </c>
      <c r="B432" s="22" t="str">
        <f>"г. Череповец, ул. Красная, д. 20, корп.2"</f>
        <v>г. Череповец, ул. Красная, д. 20, корп.2</v>
      </c>
      <c r="C432" s="14">
        <f t="shared" si="10"/>
        <v>1404669</v>
      </c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>
        <f>1115908+288761*1</f>
        <v>1404669</v>
      </c>
      <c r="V432" s="24"/>
      <c r="W432" s="24"/>
      <c r="X432" s="24"/>
      <c r="Y432" s="24"/>
      <c r="Z432" s="25"/>
      <c r="AA432" s="25"/>
      <c r="AB432" s="25"/>
      <c r="AC432" s="25"/>
      <c r="AD432" s="25"/>
    </row>
    <row r="433" spans="1:30" ht="15" customHeight="1">
      <c r="A433" s="28">
        <v>592</v>
      </c>
      <c r="B433" s="22" t="str">
        <f>"г. Череповец, ул. Красная, д. 20"</f>
        <v>г. Череповец, ул. Красная, д. 20</v>
      </c>
      <c r="C433" s="14">
        <f t="shared" si="10"/>
        <v>759136</v>
      </c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>
        <v>759136</v>
      </c>
      <c r="Y433" s="24"/>
      <c r="Z433" s="25"/>
      <c r="AA433" s="25"/>
      <c r="AB433" s="25"/>
      <c r="AC433" s="25"/>
      <c r="AD433" s="25"/>
    </row>
    <row r="434" spans="1:30" ht="15" customHeight="1">
      <c r="A434" s="28">
        <v>593</v>
      </c>
      <c r="B434" s="22" t="str">
        <f>"г. Череповец, ул. Краснодонцев, д. 61"</f>
        <v>г. Череповец, ул. Краснодонцев, д. 61</v>
      </c>
      <c r="C434" s="14">
        <f t="shared" si="10"/>
        <v>240980</v>
      </c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>
        <f>2*120490</f>
        <v>240980</v>
      </c>
      <c r="X434" s="24"/>
      <c r="Y434" s="24"/>
      <c r="Z434" s="25"/>
      <c r="AA434" s="25"/>
      <c r="AB434" s="25"/>
      <c r="AC434" s="25"/>
      <c r="AD434" s="25"/>
    </row>
    <row r="435" spans="1:31" ht="15" customHeight="1">
      <c r="A435" s="28">
        <v>594</v>
      </c>
      <c r="B435" s="12" t="str">
        <f>"г. Череповец, ул. Краснодонцев, д. 106"</f>
        <v>г. Череповец, ул. Краснодонцев, д. 106</v>
      </c>
      <c r="C435" s="14">
        <f t="shared" si="10"/>
        <v>759136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20"/>
      <c r="AA435" s="20"/>
      <c r="AB435" s="20"/>
      <c r="AC435" s="20">
        <v>759136</v>
      </c>
      <c r="AD435" s="20"/>
      <c r="AE435" s="21"/>
    </row>
    <row r="436" spans="1:30" ht="15" customHeight="1">
      <c r="A436" s="28">
        <v>595</v>
      </c>
      <c r="B436" s="22" t="str">
        <f>"г. Череповец, ул. Ленина, д. 109"</f>
        <v>г. Череповец, ул. Ленина, д. 109</v>
      </c>
      <c r="C436" s="14">
        <f t="shared" si="10"/>
        <v>2402220</v>
      </c>
      <c r="D436" s="24"/>
      <c r="E436" s="24"/>
      <c r="F436" s="24"/>
      <c r="G436" s="24">
        <f>300*1796</f>
        <v>538800</v>
      </c>
      <c r="H436" s="24">
        <f>480*2104</f>
        <v>1009920</v>
      </c>
      <c r="I436" s="24">
        <f>300*2845</f>
        <v>853500</v>
      </c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5"/>
      <c r="AA436" s="25"/>
      <c r="AB436" s="25"/>
      <c r="AC436" s="25"/>
      <c r="AD436" s="25"/>
    </row>
    <row r="437" spans="1:30" ht="15" customHeight="1">
      <c r="A437" s="28">
        <v>596</v>
      </c>
      <c r="B437" s="22" t="str">
        <f>"г. Череповец, ул. Ленина, д. 112"</f>
        <v>г. Череповец, ул. Ленина, д. 112</v>
      </c>
      <c r="C437" s="14">
        <f t="shared" si="10"/>
        <v>1615200</v>
      </c>
      <c r="D437" s="24">
        <f>400*4038</f>
        <v>1615200</v>
      </c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5"/>
      <c r="AA437" s="25"/>
      <c r="AB437" s="25"/>
      <c r="AC437" s="25"/>
      <c r="AD437" s="25"/>
    </row>
    <row r="438" spans="1:30" ht="15" customHeight="1">
      <c r="A438" s="28">
        <v>597</v>
      </c>
      <c r="B438" s="22" t="str">
        <f>"г. Череповец, ул. Ленина, д. 119"</f>
        <v>г. Череповец, ул. Ленина, д. 119</v>
      </c>
      <c r="C438" s="14">
        <f t="shared" si="10"/>
        <v>288761</v>
      </c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>
        <v>288761</v>
      </c>
      <c r="V438" s="24"/>
      <c r="W438" s="24"/>
      <c r="X438" s="24"/>
      <c r="Y438" s="24"/>
      <c r="Z438" s="25"/>
      <c r="AA438" s="25"/>
      <c r="AB438" s="25"/>
      <c r="AC438" s="25"/>
      <c r="AD438" s="25"/>
    </row>
    <row r="439" spans="1:30" ht="15" customHeight="1">
      <c r="A439" s="28">
        <v>598</v>
      </c>
      <c r="B439" s="22" t="str">
        <f>"г. Череповец, ул. Ленина, д. 122"</f>
        <v>г. Череповец, ул. Ленина, д. 122</v>
      </c>
      <c r="C439" s="14">
        <f t="shared" si="10"/>
        <v>1122158</v>
      </c>
      <c r="D439" s="24"/>
      <c r="E439" s="24"/>
      <c r="F439" s="24"/>
      <c r="G439" s="24">
        <f>130*1796</f>
        <v>233480</v>
      </c>
      <c r="H439" s="24">
        <f>252*2104</f>
        <v>530208</v>
      </c>
      <c r="I439" s="24">
        <f>126*2845</f>
        <v>358470</v>
      </c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5"/>
      <c r="AA439" s="25"/>
      <c r="AB439" s="25"/>
      <c r="AC439" s="25"/>
      <c r="AD439" s="25"/>
    </row>
    <row r="440" spans="1:30" ht="15" customHeight="1">
      <c r="A440" s="28">
        <v>599</v>
      </c>
      <c r="B440" s="22" t="str">
        <f>"г. Череповец, ул. Ленина, д. 128"</f>
        <v>г. Череповец, ул. Ленина, д. 128</v>
      </c>
      <c r="C440" s="14">
        <f t="shared" si="10"/>
        <v>1122158</v>
      </c>
      <c r="D440" s="24"/>
      <c r="E440" s="24"/>
      <c r="F440" s="24"/>
      <c r="G440" s="24">
        <f>130*1796</f>
        <v>233480</v>
      </c>
      <c r="H440" s="24">
        <f>252*2104</f>
        <v>530208</v>
      </c>
      <c r="I440" s="24">
        <f>126*2845</f>
        <v>358470</v>
      </c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5"/>
      <c r="AA440" s="25"/>
      <c r="AB440" s="25"/>
      <c r="AC440" s="25"/>
      <c r="AD440" s="25"/>
    </row>
    <row r="441" spans="1:30" ht="15" customHeight="1">
      <c r="A441" s="28">
        <v>600</v>
      </c>
      <c r="B441" s="22" t="str">
        <f>"г. Череповец, ул. Ленина, д. 132"</f>
        <v>г. Череповец, ул. Ленина, д. 132</v>
      </c>
      <c r="C441" s="14">
        <f t="shared" si="10"/>
        <v>1122158</v>
      </c>
      <c r="D441" s="24"/>
      <c r="E441" s="24"/>
      <c r="F441" s="24"/>
      <c r="G441" s="24">
        <f>130*1796</f>
        <v>233480</v>
      </c>
      <c r="H441" s="24">
        <f>252*2104</f>
        <v>530208</v>
      </c>
      <c r="I441" s="24">
        <f>126*2845</f>
        <v>358470</v>
      </c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5"/>
      <c r="AA441" s="25"/>
      <c r="AB441" s="25"/>
      <c r="AC441" s="25"/>
      <c r="AD441" s="25"/>
    </row>
    <row r="442" spans="1:30" ht="15" customHeight="1">
      <c r="A442" s="28">
        <v>601</v>
      </c>
      <c r="B442" s="22" t="str">
        <f>"г. Череповец, ул. Ленина, д. 133В"</f>
        <v>г. Череповец, ул. Ленина, д. 133В</v>
      </c>
      <c r="C442" s="14">
        <f t="shared" si="10"/>
        <v>3025280</v>
      </c>
      <c r="D442" s="24"/>
      <c r="E442" s="24"/>
      <c r="F442" s="24">
        <f>9280*326</f>
        <v>3025280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5"/>
      <c r="AA442" s="25"/>
      <c r="AB442" s="25"/>
      <c r="AC442" s="25"/>
      <c r="AD442" s="25"/>
    </row>
    <row r="443" spans="1:30" ht="15" customHeight="1">
      <c r="A443" s="28">
        <v>602</v>
      </c>
      <c r="B443" s="22" t="str">
        <f>"г. Череповец, ул. Ленина, д. 139"</f>
        <v>г. Череповец, ул. Ленина, д. 139</v>
      </c>
      <c r="C443" s="14">
        <f t="shared" si="10"/>
        <v>7268400</v>
      </c>
      <c r="D443" s="24">
        <f>4038*1800</f>
        <v>7268400</v>
      </c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5"/>
      <c r="AA443" s="25"/>
      <c r="AB443" s="25"/>
      <c r="AC443" s="25"/>
      <c r="AD443" s="25"/>
    </row>
    <row r="444" spans="1:30" ht="15" customHeight="1">
      <c r="A444" s="28">
        <v>603</v>
      </c>
      <c r="B444" s="22" t="str">
        <f>"г. Череповец, ул. Ленина, д. 142"</f>
        <v>г. Череповец, ул. Ленина, д. 142</v>
      </c>
      <c r="C444" s="14">
        <f t="shared" si="10"/>
        <v>1370515</v>
      </c>
      <c r="D444" s="24"/>
      <c r="E444" s="24"/>
      <c r="F444" s="24"/>
      <c r="G444" s="24">
        <f>1796*215</f>
        <v>386140</v>
      </c>
      <c r="H444" s="24">
        <f>2104*215</f>
        <v>452360</v>
      </c>
      <c r="I444" s="24">
        <f>2845*187</f>
        <v>532015</v>
      </c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5"/>
      <c r="AA444" s="25"/>
      <c r="AB444" s="25"/>
      <c r="AC444" s="25"/>
      <c r="AD444" s="25"/>
    </row>
    <row r="445" spans="1:30" ht="15" customHeight="1">
      <c r="A445" s="28">
        <v>604</v>
      </c>
      <c r="B445" s="22" t="str">
        <f>"г. Череповец, ул. Ленина, д. 155"</f>
        <v>г. Череповец, ул. Ленина, д. 155</v>
      </c>
      <c r="C445" s="14">
        <f t="shared" si="10"/>
        <v>5764480</v>
      </c>
      <c r="D445" s="24"/>
      <c r="E445" s="24">
        <f>1240*2264</f>
        <v>2807360</v>
      </c>
      <c r="F445" s="24"/>
      <c r="G445" s="24">
        <f>540*1796</f>
        <v>969840</v>
      </c>
      <c r="H445" s="24">
        <f>620*2104</f>
        <v>1304480</v>
      </c>
      <c r="I445" s="24">
        <f>240*2845</f>
        <v>682800</v>
      </c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5"/>
      <c r="AA445" s="25"/>
      <c r="AB445" s="25"/>
      <c r="AC445" s="25"/>
      <c r="AD445" s="25"/>
    </row>
    <row r="446" spans="1:30" ht="15" customHeight="1">
      <c r="A446" s="28">
        <v>605</v>
      </c>
      <c r="B446" s="22" t="str">
        <f>"г. Череповец, ул. Ленина, д. 169"</f>
        <v>г. Череповец, ул. Ленина, д. 169</v>
      </c>
      <c r="C446" s="14">
        <f t="shared" si="10"/>
        <v>4293322</v>
      </c>
      <c r="D446" s="24"/>
      <c r="E446" s="24"/>
      <c r="F446" s="24"/>
      <c r="G446" s="24"/>
      <c r="H446" s="24"/>
      <c r="I446" s="24"/>
      <c r="J446" s="24"/>
      <c r="K446" s="24"/>
      <c r="L446" s="24">
        <v>863.5</v>
      </c>
      <c r="M446" s="24">
        <f>4972*L446</f>
        <v>4293322</v>
      </c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5"/>
      <c r="AA446" s="25"/>
      <c r="AB446" s="25"/>
      <c r="AC446" s="25"/>
      <c r="AD446" s="25"/>
    </row>
    <row r="447" spans="1:30" ht="15" customHeight="1">
      <c r="A447" s="28">
        <v>606</v>
      </c>
      <c r="B447" s="22" t="str">
        <f>"г. Череповец, ул. Ленина, д. 52"</f>
        <v>г. Череповец, ул. Ленина, д. 52</v>
      </c>
      <c r="C447" s="14">
        <f t="shared" si="10"/>
        <v>2778144</v>
      </c>
      <c r="D447" s="24">
        <f>688*4038</f>
        <v>2778144</v>
      </c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5"/>
      <c r="AA447" s="25"/>
      <c r="AB447" s="25"/>
      <c r="AC447" s="25"/>
      <c r="AD447" s="25"/>
    </row>
    <row r="448" spans="1:30" ht="15" customHeight="1">
      <c r="A448" s="28">
        <v>607</v>
      </c>
      <c r="B448" s="22" t="str">
        <f>"г. Череповец, ул. Ленина, д. 61"</f>
        <v>г. Череповец, ул. Ленина, д. 61</v>
      </c>
      <c r="C448" s="14">
        <f t="shared" si="10"/>
        <v>6403908</v>
      </c>
      <c r="D448" s="24"/>
      <c r="E448" s="24"/>
      <c r="F448" s="24"/>
      <c r="G448" s="13">
        <f>350*1796</f>
        <v>628600</v>
      </c>
      <c r="H448" s="13">
        <f>350*2104</f>
        <v>736400</v>
      </c>
      <c r="I448" s="24"/>
      <c r="J448" s="24"/>
      <c r="K448" s="24"/>
      <c r="L448" s="24">
        <v>645.6</v>
      </c>
      <c r="M448" s="24">
        <f>L448*7805</f>
        <v>5038908</v>
      </c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5"/>
      <c r="AA448" s="25"/>
      <c r="AB448" s="25"/>
      <c r="AC448" s="25"/>
      <c r="AD448" s="25"/>
    </row>
    <row r="449" spans="1:30" ht="15" customHeight="1">
      <c r="A449" s="28">
        <v>608</v>
      </c>
      <c r="B449" s="22" t="str">
        <f>"г. Череповец, ул. Ленина, д. 63"</f>
        <v>г. Череповец, ул. Ленина, д. 63</v>
      </c>
      <c r="C449" s="14">
        <f t="shared" si="10"/>
        <v>4448850</v>
      </c>
      <c r="D449" s="24"/>
      <c r="E449" s="24"/>
      <c r="F449" s="24"/>
      <c r="G449" s="24"/>
      <c r="H449" s="24"/>
      <c r="I449" s="24"/>
      <c r="J449" s="24"/>
      <c r="K449" s="24"/>
      <c r="L449" s="24">
        <v>581</v>
      </c>
      <c r="M449" s="24">
        <f>7805*570</f>
        <v>4448850</v>
      </c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5"/>
      <c r="AA449" s="25"/>
      <c r="AB449" s="25"/>
      <c r="AC449" s="25"/>
      <c r="AD449" s="25"/>
    </row>
    <row r="450" spans="1:30" ht="15" customHeight="1">
      <c r="A450" s="28">
        <v>609</v>
      </c>
      <c r="B450" s="22" t="str">
        <f>"г. Череповец, ул. Ленина, д. 76"</f>
        <v>г. Череповец, ул. Ленина, д. 76</v>
      </c>
      <c r="C450" s="14">
        <f t="shared" si="10"/>
        <v>3814840</v>
      </c>
      <c r="D450" s="24"/>
      <c r="E450" s="24">
        <f>2264*1685</f>
        <v>3814840</v>
      </c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5"/>
      <c r="AA450" s="25"/>
      <c r="AB450" s="25"/>
      <c r="AC450" s="25"/>
      <c r="AD450" s="25"/>
    </row>
    <row r="451" spans="1:30" ht="15" customHeight="1">
      <c r="A451" s="28">
        <v>610</v>
      </c>
      <c r="B451" s="22" t="str">
        <f>"г. Череповец, ул. Ленина, д. 99"</f>
        <v>г. Череповец, ул. Ленина, д. 99</v>
      </c>
      <c r="C451" s="14">
        <f t="shared" si="10"/>
        <v>288761</v>
      </c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>
        <v>288761</v>
      </c>
      <c r="V451" s="24"/>
      <c r="W451" s="24"/>
      <c r="X451" s="24"/>
      <c r="Y451" s="24"/>
      <c r="Z451" s="25"/>
      <c r="AA451" s="25"/>
      <c r="AB451" s="25"/>
      <c r="AC451" s="25"/>
      <c r="AD451" s="25"/>
    </row>
    <row r="452" spans="1:30" ht="15" customHeight="1">
      <c r="A452" s="28">
        <v>611</v>
      </c>
      <c r="B452" s="22" t="str">
        <f>"г. Череповец, ул. Ленинградская, д. 11"</f>
        <v>г. Череповец, ул. Ленинградская, д. 11</v>
      </c>
      <c r="C452" s="14">
        <f t="shared" si="10"/>
        <v>1615200</v>
      </c>
      <c r="D452" s="24">
        <f>4038*400</f>
        <v>1615200</v>
      </c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5"/>
      <c r="AA452" s="25"/>
      <c r="AB452" s="25"/>
      <c r="AC452" s="25"/>
      <c r="AD452" s="25"/>
    </row>
    <row r="453" spans="1:30" ht="15" customHeight="1">
      <c r="A453" s="28">
        <v>612</v>
      </c>
      <c r="B453" s="22" t="str">
        <f>"г. Череповец, ул. Ленинградская, д. 50"</f>
        <v>г. Череповец, ул. Ленинградская, д. 50</v>
      </c>
      <c r="C453" s="14">
        <f t="shared" si="10"/>
        <v>10646020</v>
      </c>
      <c r="D453" s="24"/>
      <c r="E453" s="24"/>
      <c r="F453" s="24"/>
      <c r="G453" s="24"/>
      <c r="H453" s="24"/>
      <c r="I453" s="24"/>
      <c r="J453" s="24"/>
      <c r="K453" s="24"/>
      <c r="L453" s="24">
        <v>1364</v>
      </c>
      <c r="M453" s="24">
        <f>L453*7805</f>
        <v>10646020</v>
      </c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5"/>
      <c r="AA453" s="25"/>
      <c r="AB453" s="25"/>
      <c r="AC453" s="25"/>
      <c r="AD453" s="25"/>
    </row>
    <row r="454" spans="1:30" ht="15" customHeight="1">
      <c r="A454" s="28">
        <v>613</v>
      </c>
      <c r="B454" s="22" t="str">
        <f>"г. Череповец, ул. Ломоносова, д. 20"</f>
        <v>г. Череповец, ул. Ломоносова, д. 20</v>
      </c>
      <c r="C454" s="14">
        <f t="shared" si="10"/>
        <v>8983040</v>
      </c>
      <c r="D454" s="24"/>
      <c r="E454" s="24"/>
      <c r="F454" s="24">
        <f>9280*968</f>
        <v>8983040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5"/>
      <c r="AA454" s="25"/>
      <c r="AB454" s="25"/>
      <c r="AC454" s="25"/>
      <c r="AD454" s="25"/>
    </row>
    <row r="455" spans="1:30" ht="15" customHeight="1">
      <c r="A455" s="28">
        <v>614</v>
      </c>
      <c r="B455" s="22" t="str">
        <f>"г. Череповец, ул. Ломоносова, д. 28"</f>
        <v>г. Череповец, ул. Ломоносова, д. 28</v>
      </c>
      <c r="C455" s="14">
        <f t="shared" si="10"/>
        <v>5653200</v>
      </c>
      <c r="D455" s="24">
        <f>4038*1400</f>
        <v>5653200</v>
      </c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5"/>
      <c r="AA455" s="25"/>
      <c r="AB455" s="25"/>
      <c r="AC455" s="25"/>
      <c r="AD455" s="25"/>
    </row>
    <row r="456" spans="1:30" ht="15" customHeight="1">
      <c r="A456" s="28">
        <v>615</v>
      </c>
      <c r="B456" s="22" t="str">
        <f>"г. Череповец, ул. Ломоносова, д. 32А"</f>
        <v>г. Череповец, ул. Ломоносова, д. 32А</v>
      </c>
      <c r="C456" s="14">
        <f t="shared" si="10"/>
        <v>4369520</v>
      </c>
      <c r="D456" s="24"/>
      <c r="E456" s="24">
        <f>2264*1930</f>
        <v>4369520</v>
      </c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5"/>
      <c r="AA456" s="25"/>
      <c r="AB456" s="25"/>
      <c r="AC456" s="25"/>
      <c r="AD456" s="25"/>
    </row>
    <row r="457" spans="1:30" ht="15" customHeight="1">
      <c r="A457" s="28">
        <v>616</v>
      </c>
      <c r="B457" s="22" t="str">
        <f>"г. Череповец, ул. Ломоносова, д. 34"</f>
        <v>г. Череповец, ул. Ломоносова, д. 34</v>
      </c>
      <c r="C457" s="14">
        <f t="shared" si="10"/>
        <v>5207200</v>
      </c>
      <c r="D457" s="24"/>
      <c r="E457" s="24">
        <f>2264*2300</f>
        <v>5207200</v>
      </c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5"/>
      <c r="AA457" s="25"/>
      <c r="AB457" s="25"/>
      <c r="AC457" s="25"/>
      <c r="AD457" s="25"/>
    </row>
    <row r="458" spans="1:30" ht="15" customHeight="1">
      <c r="A458" s="28">
        <v>617</v>
      </c>
      <c r="B458" s="22" t="str">
        <f>"г. Череповец, ул. Ломоносова, д. 35"</f>
        <v>г. Череповец, ул. Ломоносова, д. 35</v>
      </c>
      <c r="C458" s="14">
        <f t="shared" si="10"/>
        <v>3814840</v>
      </c>
      <c r="D458" s="24"/>
      <c r="E458" s="24">
        <f>2264*1685</f>
        <v>3814840</v>
      </c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5"/>
      <c r="AA458" s="25"/>
      <c r="AB458" s="25"/>
      <c r="AC458" s="25"/>
      <c r="AD458" s="25"/>
    </row>
    <row r="459" spans="1:30" ht="15" customHeight="1">
      <c r="A459" s="28">
        <v>618</v>
      </c>
      <c r="B459" s="22" t="str">
        <f>"г. Череповец, ул. Любецкая, д. 3"</f>
        <v>г. Череповец, ул. Любецкая, д. 3</v>
      </c>
      <c r="C459" s="14">
        <f t="shared" si="10"/>
        <v>120490</v>
      </c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>
        <f>1*120490</f>
        <v>120490</v>
      </c>
      <c r="X459" s="24"/>
      <c r="Y459" s="24"/>
      <c r="Z459" s="25"/>
      <c r="AA459" s="25"/>
      <c r="AB459" s="25"/>
      <c r="AC459" s="25"/>
      <c r="AD459" s="25"/>
    </row>
    <row r="460" spans="1:30" ht="15" customHeight="1">
      <c r="A460" s="28">
        <v>619</v>
      </c>
      <c r="B460" s="22" t="str">
        <f>"г. Череповец, ул. М.Горького, д. 51"</f>
        <v>г. Череповец, ул. М.Горького, д. 51</v>
      </c>
      <c r="C460" s="14">
        <f t="shared" si="10"/>
        <v>803615</v>
      </c>
      <c r="D460" s="24"/>
      <c r="E460" s="24"/>
      <c r="F460" s="24"/>
      <c r="G460" s="24">
        <f>1796*128</f>
        <v>229888</v>
      </c>
      <c r="H460" s="24">
        <f>2104*128</f>
        <v>269312</v>
      </c>
      <c r="I460" s="24">
        <f>2845*107</f>
        <v>304415</v>
      </c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5"/>
      <c r="AA460" s="25"/>
      <c r="AB460" s="25"/>
      <c r="AC460" s="25"/>
      <c r="AD460" s="25"/>
    </row>
    <row r="461" spans="1:30" ht="15" customHeight="1">
      <c r="A461" s="28">
        <v>620</v>
      </c>
      <c r="B461" s="22" t="str">
        <f>"г. Череповец, ул. М.Горького, д. 61"</f>
        <v>г. Череповец, ул. М.Горького, д. 61</v>
      </c>
      <c r="C461" s="14">
        <f t="shared" si="10"/>
        <v>3896438</v>
      </c>
      <c r="D461" s="24"/>
      <c r="E461" s="24"/>
      <c r="F461" s="24"/>
      <c r="G461" s="24">
        <f>1796*404</f>
        <v>725584</v>
      </c>
      <c r="H461" s="24">
        <f>2104*666</f>
        <v>1401264</v>
      </c>
      <c r="I461" s="24">
        <f>2845*622</f>
        <v>1769590</v>
      </c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5"/>
      <c r="AA461" s="25"/>
      <c r="AB461" s="25"/>
      <c r="AC461" s="25"/>
      <c r="AD461" s="25"/>
    </row>
    <row r="462" spans="1:30" ht="15" customHeight="1">
      <c r="A462" s="28">
        <v>621</v>
      </c>
      <c r="B462" s="22" t="str">
        <f>"г. Череповец, ул. М.Горького, д. 67"</f>
        <v>г. Череповец, ул. М.Горького, д. 67</v>
      </c>
      <c r="C462" s="14">
        <f t="shared" si="10"/>
        <v>288761</v>
      </c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>
        <v>288761</v>
      </c>
      <c r="V462" s="24"/>
      <c r="W462" s="24"/>
      <c r="X462" s="24"/>
      <c r="Y462" s="24"/>
      <c r="Z462" s="25"/>
      <c r="AA462" s="25"/>
      <c r="AB462" s="25"/>
      <c r="AC462" s="25"/>
      <c r="AD462" s="25"/>
    </row>
    <row r="463" spans="1:30" ht="15" customHeight="1">
      <c r="A463" s="28">
        <v>622</v>
      </c>
      <c r="B463" s="22" t="str">
        <f>"г. Череповец, ул. М.Горького, д. 69"</f>
        <v>г. Череповец, ул. М.Горького, д. 69</v>
      </c>
      <c r="C463" s="14">
        <f t="shared" si="10"/>
        <v>288761</v>
      </c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>
        <v>288761</v>
      </c>
      <c r="V463" s="24"/>
      <c r="W463" s="24"/>
      <c r="X463" s="24"/>
      <c r="Y463" s="24"/>
      <c r="Z463" s="25"/>
      <c r="AA463" s="25"/>
      <c r="AB463" s="25"/>
      <c r="AC463" s="25"/>
      <c r="AD463" s="25"/>
    </row>
    <row r="464" spans="1:30" ht="15" customHeight="1">
      <c r="A464" s="28">
        <v>623</v>
      </c>
      <c r="B464" s="22" t="str">
        <f>"г. Череповец, ул. М.Горького, д. 73"</f>
        <v>г. Череповец, ул. М.Горького, д. 73</v>
      </c>
      <c r="C464" s="14">
        <f t="shared" si="10"/>
        <v>288761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>
        <f>288761*1</f>
        <v>288761</v>
      </c>
      <c r="V464" s="24"/>
      <c r="W464" s="24"/>
      <c r="X464" s="24"/>
      <c r="Y464" s="24"/>
      <c r="Z464" s="25"/>
      <c r="AA464" s="25"/>
      <c r="AB464" s="25"/>
      <c r="AC464" s="25"/>
      <c r="AD464" s="25"/>
    </row>
    <row r="465" spans="1:30" ht="15" customHeight="1">
      <c r="A465" s="28">
        <v>624</v>
      </c>
      <c r="B465" s="22" t="str">
        <f>"г. Череповец, ул. М.Горького, д. 79"</f>
        <v>г. Череповец, ул. М.Горького, д. 79</v>
      </c>
      <c r="C465" s="14">
        <f t="shared" si="10"/>
        <v>4248076.8</v>
      </c>
      <c r="D465" s="24"/>
      <c r="E465" s="24"/>
      <c r="F465" s="24"/>
      <c r="G465" s="24"/>
      <c r="H465" s="24"/>
      <c r="I465" s="24"/>
      <c r="J465" s="24"/>
      <c r="K465" s="24"/>
      <c r="L465" s="24">
        <v>854.4</v>
      </c>
      <c r="M465" s="24">
        <f>4972*854.4</f>
        <v>4248076.8</v>
      </c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5"/>
      <c r="AA465" s="25"/>
      <c r="AB465" s="25"/>
      <c r="AC465" s="25"/>
      <c r="AD465" s="25"/>
    </row>
    <row r="466" spans="1:30" ht="15" customHeight="1">
      <c r="A466" s="28">
        <v>625</v>
      </c>
      <c r="B466" s="22" t="str">
        <f>"г. Череповец, ул. М.Горького, д. 85"</f>
        <v>г. Череповец, ул. М.Горького, д. 85</v>
      </c>
      <c r="C466" s="14">
        <f t="shared" si="10"/>
        <v>288761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>
        <v>288761</v>
      </c>
      <c r="V466" s="24"/>
      <c r="W466" s="24"/>
      <c r="X466" s="24"/>
      <c r="Y466" s="24"/>
      <c r="Z466" s="25"/>
      <c r="AA466" s="25"/>
      <c r="AB466" s="25"/>
      <c r="AC466" s="25"/>
      <c r="AD466" s="25"/>
    </row>
    <row r="467" spans="1:30" ht="15" customHeight="1">
      <c r="A467" s="28">
        <v>626</v>
      </c>
      <c r="B467" s="22" t="str">
        <f>"г. Череповец, ул. М.Горького, д. 85А"</f>
        <v>г. Череповец, ул. М.Горького, д. 85А</v>
      </c>
      <c r="C467" s="14">
        <f aca="true" t="shared" si="11" ref="C467:C523">D467+E467+F467+G467+H467+I467+K467+M467+O467+Q467+S467+U467+T467+V467+W467+X467+Y467+Z467+AA467+AB467+AC467+AD467</f>
        <v>1238735</v>
      </c>
      <c r="D467" s="24"/>
      <c r="E467" s="24"/>
      <c r="F467" s="24"/>
      <c r="G467" s="24">
        <f>1796*101</f>
        <v>181396</v>
      </c>
      <c r="H467" s="24">
        <f>2104*201</f>
        <v>422904</v>
      </c>
      <c r="I467" s="24">
        <f>2845*223</f>
        <v>634435</v>
      </c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5"/>
      <c r="AA467" s="25"/>
      <c r="AB467" s="25"/>
      <c r="AC467" s="25"/>
      <c r="AD467" s="25"/>
    </row>
    <row r="468" spans="1:30" ht="15" customHeight="1">
      <c r="A468" s="28">
        <v>627</v>
      </c>
      <c r="B468" s="22" t="str">
        <f>"г. Череповец, ул. М.Горького, д. 89"</f>
        <v>г. Череповец, ул. М.Горького, д. 89</v>
      </c>
      <c r="C468" s="14">
        <f t="shared" si="11"/>
        <v>8378500</v>
      </c>
      <c r="D468" s="24"/>
      <c r="E468" s="24"/>
      <c r="F468" s="24"/>
      <c r="G468" s="24">
        <f>1200*1796</f>
        <v>2155200</v>
      </c>
      <c r="H468" s="24">
        <f>1200*2104</f>
        <v>2524800</v>
      </c>
      <c r="I468" s="24">
        <f>1300*2845</f>
        <v>3698500</v>
      </c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5"/>
      <c r="AA468" s="25"/>
      <c r="AB468" s="25"/>
      <c r="AC468" s="25"/>
      <c r="AD468" s="25"/>
    </row>
    <row r="469" spans="1:30" ht="15" customHeight="1">
      <c r="A469" s="28">
        <v>628</v>
      </c>
      <c r="B469" s="22" t="str">
        <f>"г. Череповец, ул. Менделеева, д. 1"</f>
        <v>г. Череповец, ул. Менделеева, д. 1</v>
      </c>
      <c r="C469" s="14">
        <f t="shared" si="11"/>
        <v>2773400</v>
      </c>
      <c r="D469" s="24"/>
      <c r="E469" s="24">
        <f>2264*1225</f>
        <v>2773400</v>
      </c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5"/>
      <c r="AA469" s="25"/>
      <c r="AB469" s="25"/>
      <c r="AC469" s="25"/>
      <c r="AD469" s="25"/>
    </row>
    <row r="470" spans="1:30" ht="15" customHeight="1">
      <c r="A470" s="28">
        <v>629</v>
      </c>
      <c r="B470" s="22" t="str">
        <f>"г. Череповец, ул. Менделеева, д. 2"</f>
        <v>г. Череповец, ул. Менделеева, д. 2</v>
      </c>
      <c r="C470" s="14">
        <f t="shared" si="11"/>
        <v>5207200</v>
      </c>
      <c r="D470" s="24"/>
      <c r="E470" s="24">
        <f>2264*2300</f>
        <v>5207200</v>
      </c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5"/>
      <c r="AA470" s="25"/>
      <c r="AB470" s="25"/>
      <c r="AC470" s="25"/>
      <c r="AD470" s="25"/>
    </row>
    <row r="471" spans="1:30" ht="15" customHeight="1">
      <c r="A471" s="28">
        <v>630</v>
      </c>
      <c r="B471" s="22" t="str">
        <f>"г. Череповец, ул. Менделеева, д. 5"</f>
        <v>г. Череповец, ул. Менделеева, д. 5</v>
      </c>
      <c r="C471" s="14">
        <f t="shared" si="11"/>
        <v>2431536</v>
      </c>
      <c r="D471" s="24"/>
      <c r="E471" s="24">
        <f>2264*1074</f>
        <v>2431536</v>
      </c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5"/>
      <c r="AA471" s="25"/>
      <c r="AB471" s="25"/>
      <c r="AC471" s="25"/>
      <c r="AD471" s="25"/>
    </row>
    <row r="472" spans="1:30" ht="15" customHeight="1">
      <c r="A472" s="28">
        <v>631</v>
      </c>
      <c r="B472" s="22" t="str">
        <f>"г. Череповец, ул. Менделеева, д. 6"</f>
        <v>г. Череповец, ул. Менделеева, д. 6</v>
      </c>
      <c r="C472" s="14">
        <f t="shared" si="11"/>
        <v>4148160</v>
      </c>
      <c r="D472" s="24"/>
      <c r="E472" s="24"/>
      <c r="F472" s="24">
        <f>9280*447</f>
        <v>4148160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5"/>
      <c r="AA472" s="25"/>
      <c r="AB472" s="25"/>
      <c r="AC472" s="25"/>
      <c r="AD472" s="25"/>
    </row>
    <row r="473" spans="1:30" ht="15" customHeight="1">
      <c r="A473" s="28">
        <v>632</v>
      </c>
      <c r="B473" s="22" t="str">
        <f>"г. Череповец, ул. Менделеева, д. 7"</f>
        <v>г. Череповец, ул. Менделеева, д. 7</v>
      </c>
      <c r="C473" s="14">
        <f t="shared" si="11"/>
        <v>1837440</v>
      </c>
      <c r="D473" s="24"/>
      <c r="E473" s="24"/>
      <c r="F473" s="24">
        <f>9280*198</f>
        <v>1837440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5"/>
      <c r="AA473" s="25"/>
      <c r="AB473" s="25"/>
      <c r="AC473" s="25"/>
      <c r="AD473" s="25"/>
    </row>
    <row r="474" spans="1:30" ht="15" customHeight="1">
      <c r="A474" s="28">
        <v>633</v>
      </c>
      <c r="B474" s="22" t="str">
        <f>"г. Череповец, ул. Металлургов, д. 1"</f>
        <v>г. Череповец, ул. Металлургов, д. 1</v>
      </c>
      <c r="C474" s="14">
        <f t="shared" si="11"/>
        <v>3432300</v>
      </c>
      <c r="D474" s="24">
        <f>850*4038</f>
        <v>3432300</v>
      </c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5"/>
      <c r="AA474" s="25"/>
      <c r="AB474" s="25"/>
      <c r="AC474" s="25"/>
      <c r="AD474" s="25"/>
    </row>
    <row r="475" spans="1:30" ht="15" customHeight="1">
      <c r="A475" s="28">
        <v>634</v>
      </c>
      <c r="B475" s="22" t="str">
        <f>"г. Череповец, ул. Металлургов, д. 45"</f>
        <v>г. Череповец, ул. Металлургов, д. 45</v>
      </c>
      <c r="C475" s="14">
        <f t="shared" si="11"/>
        <v>5707358.800000001</v>
      </c>
      <c r="D475" s="24"/>
      <c r="E475" s="24"/>
      <c r="F475" s="24"/>
      <c r="G475" s="24"/>
      <c r="H475" s="24"/>
      <c r="I475" s="24"/>
      <c r="J475" s="24"/>
      <c r="K475" s="24"/>
      <c r="L475" s="24">
        <v>1147.9</v>
      </c>
      <c r="M475" s="24">
        <f>4972*1147.9</f>
        <v>5707358.800000001</v>
      </c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5"/>
      <c r="AA475" s="25"/>
      <c r="AB475" s="25"/>
      <c r="AC475" s="25"/>
      <c r="AD475" s="25"/>
    </row>
    <row r="476" spans="1:30" ht="15" customHeight="1">
      <c r="A476" s="28">
        <v>635</v>
      </c>
      <c r="B476" s="22" t="str">
        <f>"г. Череповец, ул. Металлургов, д. 49"</f>
        <v>г. Череповец, ул. Металлургов, д. 49</v>
      </c>
      <c r="C476" s="14">
        <f t="shared" si="11"/>
        <v>5778346.199999999</v>
      </c>
      <c r="D476" s="24"/>
      <c r="E476" s="24"/>
      <c r="F476" s="24"/>
      <c r="G476" s="24"/>
      <c r="H476" s="24"/>
      <c r="I476" s="24"/>
      <c r="J476" s="24"/>
      <c r="K476" s="24"/>
      <c r="L476" s="24">
        <v>1104.1</v>
      </c>
      <c r="M476" s="24">
        <f>4972*1104.1</f>
        <v>5489585.199999999</v>
      </c>
      <c r="N476" s="24"/>
      <c r="O476" s="24"/>
      <c r="P476" s="24"/>
      <c r="Q476" s="24"/>
      <c r="R476" s="24"/>
      <c r="S476" s="24"/>
      <c r="T476" s="24"/>
      <c r="U476" s="24">
        <f>288761*1</f>
        <v>288761</v>
      </c>
      <c r="V476" s="24"/>
      <c r="W476" s="24"/>
      <c r="X476" s="24"/>
      <c r="Y476" s="24"/>
      <c r="Z476" s="25"/>
      <c r="AA476" s="25"/>
      <c r="AB476" s="25"/>
      <c r="AC476" s="25"/>
      <c r="AD476" s="25"/>
    </row>
    <row r="477" spans="1:30" ht="15" customHeight="1">
      <c r="A477" s="28">
        <v>636</v>
      </c>
      <c r="B477" s="22" t="str">
        <f>"г. Череповец, ул. Металлургов, д. 5"</f>
        <v>г. Череповец, ул. Металлургов, д. 5</v>
      </c>
      <c r="C477" s="14">
        <f t="shared" si="11"/>
        <v>4474800</v>
      </c>
      <c r="D477" s="24"/>
      <c r="E477" s="24"/>
      <c r="F477" s="24"/>
      <c r="G477" s="24"/>
      <c r="H477" s="24"/>
      <c r="I477" s="24"/>
      <c r="J477" s="24"/>
      <c r="K477" s="24"/>
      <c r="L477" s="24">
        <v>900</v>
      </c>
      <c r="M477" s="24">
        <f>4972*L477</f>
        <v>4474800</v>
      </c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5"/>
      <c r="AA477" s="25"/>
      <c r="AB477" s="25"/>
      <c r="AC477" s="25"/>
      <c r="AD477" s="25"/>
    </row>
    <row r="478" spans="1:30" ht="15" customHeight="1">
      <c r="A478" s="28">
        <v>637</v>
      </c>
      <c r="B478" s="22" t="str">
        <f>"г. Череповец, ул. Металлургов, д. 65"</f>
        <v>г. Череповец, ул. Металлургов, д. 65</v>
      </c>
      <c r="C478" s="14">
        <f t="shared" si="11"/>
        <v>5709347.6</v>
      </c>
      <c r="D478" s="24"/>
      <c r="E478" s="24"/>
      <c r="F478" s="24"/>
      <c r="G478" s="24"/>
      <c r="H478" s="24"/>
      <c r="I478" s="24"/>
      <c r="J478" s="24"/>
      <c r="K478" s="24"/>
      <c r="L478" s="24">
        <v>1148.3</v>
      </c>
      <c r="M478" s="24">
        <f>4972*L478</f>
        <v>5709347.6</v>
      </c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5"/>
      <c r="AA478" s="25"/>
      <c r="AB478" s="25"/>
      <c r="AC478" s="25"/>
      <c r="AD478" s="25"/>
    </row>
    <row r="479" spans="1:30" ht="15" customHeight="1">
      <c r="A479" s="28">
        <v>638</v>
      </c>
      <c r="B479" s="22" t="str">
        <f>"г. Череповец, ул. Набережная, д. 47"</f>
        <v>г. Череповец, ул. Набережная, д. 47</v>
      </c>
      <c r="C479" s="14">
        <f t="shared" si="11"/>
        <v>13487040</v>
      </c>
      <c r="D479" s="24"/>
      <c r="E479" s="24"/>
      <c r="F479" s="24"/>
      <c r="G479" s="24"/>
      <c r="H479" s="24"/>
      <c r="I479" s="24"/>
      <c r="J479" s="24"/>
      <c r="K479" s="24"/>
      <c r="L479" s="24">
        <v>1728</v>
      </c>
      <c r="M479" s="24">
        <f>L479*7805</f>
        <v>13487040</v>
      </c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5"/>
      <c r="AA479" s="25"/>
      <c r="AB479" s="25"/>
      <c r="AC479" s="25"/>
      <c r="AD479" s="25"/>
    </row>
    <row r="480" spans="1:30" ht="15" customHeight="1">
      <c r="A480" s="28">
        <v>639</v>
      </c>
      <c r="B480" s="22" t="str">
        <f>"г. Череповец, ул. Набережная, д. 49"</f>
        <v>г. Череповец, ул. Набережная, д. 49</v>
      </c>
      <c r="C480" s="14">
        <f t="shared" si="11"/>
        <v>2422800</v>
      </c>
      <c r="D480" s="24">
        <f>4038*600</f>
        <v>2422800</v>
      </c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5"/>
      <c r="AA480" s="25"/>
      <c r="AB480" s="25"/>
      <c r="AC480" s="25"/>
      <c r="AD480" s="25"/>
    </row>
    <row r="481" spans="1:30" ht="15" customHeight="1">
      <c r="A481" s="28">
        <v>640</v>
      </c>
      <c r="B481" s="22" t="str">
        <f>"г. Череповец, ул. Набережная, д. 59"</f>
        <v>г. Череповец, ул. Набережная, д. 59</v>
      </c>
      <c r="C481" s="14">
        <f t="shared" si="11"/>
        <v>2099760</v>
      </c>
      <c r="D481" s="24">
        <f>520*4038</f>
        <v>2099760</v>
      </c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5"/>
      <c r="AA481" s="25"/>
      <c r="AB481" s="25"/>
      <c r="AC481" s="25"/>
      <c r="AD481" s="25"/>
    </row>
    <row r="482" spans="1:30" ht="15" customHeight="1">
      <c r="A482" s="28">
        <v>641</v>
      </c>
      <c r="B482" s="22" t="str">
        <f>"г. Череповец, ул. Наседкина, д. 7, корп.1"</f>
        <v>г. Череповец, ул. Наседкина, д. 7, корп.1</v>
      </c>
      <c r="C482" s="14">
        <f t="shared" si="11"/>
        <v>3733312.5</v>
      </c>
      <c r="D482" s="24"/>
      <c r="E482" s="24"/>
      <c r="F482" s="24"/>
      <c r="G482" s="24">
        <f>(1796*1060)/2</f>
        <v>951880</v>
      </c>
      <c r="H482" s="24">
        <f>(2104*1285)/2</f>
        <v>1351820</v>
      </c>
      <c r="I482" s="24">
        <f>(2845*1005)/2</f>
        <v>1429612.5</v>
      </c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5"/>
      <c r="AA482" s="25"/>
      <c r="AB482" s="25"/>
      <c r="AC482" s="25"/>
      <c r="AD482" s="25"/>
    </row>
    <row r="483" spans="1:30" ht="15" customHeight="1">
      <c r="A483" s="28">
        <v>642</v>
      </c>
      <c r="B483" s="22" t="str">
        <f>"г. Череповец, ул. Наседкина, д. 7"</f>
        <v>г. Череповец, ул. Наседкина, д. 7</v>
      </c>
      <c r="C483" s="14">
        <f t="shared" si="11"/>
        <v>3733312.5</v>
      </c>
      <c r="D483" s="24"/>
      <c r="E483" s="24"/>
      <c r="F483" s="24"/>
      <c r="G483" s="24">
        <f>(1796*1060)/2</f>
        <v>951880</v>
      </c>
      <c r="H483" s="24">
        <f>(2104*1285)/2</f>
        <v>1351820</v>
      </c>
      <c r="I483" s="24">
        <f>(2845*1005)/2</f>
        <v>1429612.5</v>
      </c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5"/>
      <c r="AA483" s="25"/>
      <c r="AB483" s="25"/>
      <c r="AC483" s="25"/>
      <c r="AD483" s="25"/>
    </row>
    <row r="484" spans="1:30" ht="15" customHeight="1">
      <c r="A484" s="28">
        <v>643</v>
      </c>
      <c r="B484" s="22" t="str">
        <f>"г. Череповец, ул. Новая Школьная, д. 1"</f>
        <v>г. Череповец, ул. Новая Школьная, д. 1</v>
      </c>
      <c r="C484" s="14">
        <f t="shared" si="11"/>
        <v>524940</v>
      </c>
      <c r="D484" s="24">
        <f>4038*130</f>
        <v>524940</v>
      </c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5"/>
      <c r="AA484" s="25"/>
      <c r="AB484" s="25"/>
      <c r="AC484" s="25"/>
      <c r="AD484" s="25"/>
    </row>
    <row r="485" spans="1:30" ht="15" customHeight="1">
      <c r="A485" s="28">
        <v>644</v>
      </c>
      <c r="B485" s="22" t="str">
        <f>"г. Череповец, ул. Новая Школьная, д. 2"</f>
        <v>г. Череповец, ул. Новая Школьная, д. 2</v>
      </c>
      <c r="C485" s="14">
        <f t="shared" si="11"/>
        <v>11679525</v>
      </c>
      <c r="D485" s="24"/>
      <c r="E485" s="24"/>
      <c r="F485" s="24"/>
      <c r="G485" s="24">
        <f>1796*2568</f>
        <v>4612128</v>
      </c>
      <c r="H485" s="24">
        <f>2104*2568</f>
        <v>5403072</v>
      </c>
      <c r="I485" s="24">
        <f>2845*585</f>
        <v>1664325</v>
      </c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5"/>
      <c r="AA485" s="25"/>
      <c r="AB485" s="25"/>
      <c r="AC485" s="25"/>
      <c r="AD485" s="25"/>
    </row>
    <row r="486" spans="1:30" ht="15" customHeight="1">
      <c r="A486" s="28">
        <v>645</v>
      </c>
      <c r="B486" s="22" t="str">
        <f>"г. Череповец, ул. Олимпийская, д. 11"</f>
        <v>г. Череповец, ул. Олимпийская, д. 11</v>
      </c>
      <c r="C486" s="14">
        <f t="shared" si="11"/>
        <v>20995450</v>
      </c>
      <c r="D486" s="24"/>
      <c r="E486" s="24"/>
      <c r="F486" s="24"/>
      <c r="G486" s="24"/>
      <c r="H486" s="24"/>
      <c r="I486" s="24"/>
      <c r="J486" s="24"/>
      <c r="K486" s="24"/>
      <c r="L486" s="24">
        <v>2690</v>
      </c>
      <c r="M486" s="24">
        <f>7805*L486</f>
        <v>20995450</v>
      </c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5"/>
      <c r="AA486" s="25"/>
      <c r="AB486" s="25"/>
      <c r="AC486" s="25"/>
      <c r="AD486" s="25"/>
    </row>
    <row r="487" spans="1:30" ht="15" customHeight="1">
      <c r="A487" s="28">
        <v>646</v>
      </c>
      <c r="B487" s="22" t="str">
        <f>"г. Череповец, ул. Олимпийская, д. 3, корп.1"</f>
        <v>г. Череповец, ул. Олимпийская, д. 3, корп.1</v>
      </c>
      <c r="C487" s="14">
        <f t="shared" si="11"/>
        <v>759136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>
        <f>759136</f>
        <v>759136</v>
      </c>
      <c r="Y487" s="24"/>
      <c r="Z487" s="25"/>
      <c r="AA487" s="25"/>
      <c r="AB487" s="25"/>
      <c r="AC487" s="25"/>
      <c r="AD487" s="25"/>
    </row>
    <row r="488" spans="1:30" ht="15" customHeight="1">
      <c r="A488" s="28">
        <v>647</v>
      </c>
      <c r="B488" s="22" t="str">
        <f>"г. Череповец, ул. Олимпийская, д. 3"</f>
        <v>г. Череповец, ул. Олимпийская, д. 3</v>
      </c>
      <c r="C488" s="14">
        <f t="shared" si="11"/>
        <v>759136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>
        <f>759136</f>
        <v>759136</v>
      </c>
      <c r="Y488" s="24"/>
      <c r="Z488" s="25"/>
      <c r="AA488" s="25"/>
      <c r="AB488" s="25"/>
      <c r="AC488" s="25"/>
      <c r="AD488" s="25"/>
    </row>
    <row r="489" spans="1:30" ht="15" customHeight="1">
      <c r="A489" s="28">
        <v>648</v>
      </c>
      <c r="B489" s="22" t="str">
        <f>"г. Череповец, ул. Олимпийская, д. 7"</f>
        <v>г. Череповец, ул. Олимпийская, д. 7</v>
      </c>
      <c r="C489" s="14">
        <f t="shared" si="11"/>
        <v>759136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>
        <f>759136</f>
        <v>759136</v>
      </c>
      <c r="Y489" s="24"/>
      <c r="Z489" s="25"/>
      <c r="AA489" s="25"/>
      <c r="AB489" s="25"/>
      <c r="AC489" s="25"/>
      <c r="AD489" s="25"/>
    </row>
    <row r="490" spans="1:30" ht="15" customHeight="1">
      <c r="A490" s="28">
        <v>649</v>
      </c>
      <c r="B490" s="22" t="str">
        <f>"г. Череповец, ул. Олимпийская, д. 43"</f>
        <v>г. Череповец, ул. Олимпийская, д. 43</v>
      </c>
      <c r="C490" s="14">
        <f t="shared" si="11"/>
        <v>759136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>
        <f>759136</f>
        <v>759136</v>
      </c>
      <c r="Y490" s="24"/>
      <c r="Z490" s="25"/>
      <c r="AA490" s="25"/>
      <c r="AB490" s="25"/>
      <c r="AC490" s="25"/>
      <c r="AD490" s="25"/>
    </row>
    <row r="491" spans="1:31" ht="15" customHeight="1">
      <c r="A491" s="28">
        <v>650</v>
      </c>
      <c r="B491" s="12" t="str">
        <f>"г. Череповец, ул. Олимпийская, д. 63А"</f>
        <v>г. Череповец, ул. Олимпийская, д. 63А</v>
      </c>
      <c r="C491" s="14">
        <f t="shared" si="11"/>
        <v>759136</v>
      </c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>
        <f>759136*1</f>
        <v>759136</v>
      </c>
      <c r="Y491" s="13"/>
      <c r="Z491" s="20"/>
      <c r="AA491" s="20"/>
      <c r="AB491" s="20"/>
      <c r="AC491" s="20"/>
      <c r="AD491" s="20"/>
      <c r="AE491" s="21"/>
    </row>
    <row r="492" spans="1:30" ht="15" customHeight="1">
      <c r="A492" s="28">
        <v>651</v>
      </c>
      <c r="B492" s="22" t="str">
        <f>"г. Череповец, ул. Парковая, д. 52"</f>
        <v>г. Череповец, ул. Парковая, д. 52</v>
      </c>
      <c r="C492" s="14">
        <f t="shared" si="11"/>
        <v>2848960</v>
      </c>
      <c r="D492" s="24"/>
      <c r="E492" s="24"/>
      <c r="F492" s="24">
        <f>9280*307</f>
        <v>2848960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5"/>
      <c r="AA492" s="25"/>
      <c r="AB492" s="25"/>
      <c r="AC492" s="25"/>
      <c r="AD492" s="25"/>
    </row>
    <row r="493" spans="1:30" ht="15" customHeight="1">
      <c r="A493" s="28">
        <v>652</v>
      </c>
      <c r="B493" s="22" t="str">
        <f>"г. Череповец, ул. Первомайская, д. 20"</f>
        <v>г. Череповец, ул. Первомайская, д. 20</v>
      </c>
      <c r="C493" s="14">
        <f t="shared" si="11"/>
        <v>2134400</v>
      </c>
      <c r="D493" s="24"/>
      <c r="E493" s="24"/>
      <c r="F493" s="24">
        <f>230*9280</f>
        <v>2134400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5"/>
      <c r="AA493" s="25"/>
      <c r="AB493" s="25"/>
      <c r="AC493" s="25"/>
      <c r="AD493" s="25"/>
    </row>
    <row r="494" spans="1:30" ht="15" customHeight="1">
      <c r="A494" s="28">
        <v>653</v>
      </c>
      <c r="B494" s="22" t="str">
        <f>"г. Череповец, ул. Первомайская, д. 22"</f>
        <v>г. Череповец, ул. Первомайская, д. 22</v>
      </c>
      <c r="C494" s="14">
        <f t="shared" si="11"/>
        <v>3636485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>
        <f>1115908*3+288761*1</f>
        <v>3636485</v>
      </c>
      <c r="V494" s="24"/>
      <c r="W494" s="24"/>
      <c r="X494" s="24"/>
      <c r="Y494" s="24"/>
      <c r="Z494" s="25"/>
      <c r="AA494" s="25"/>
      <c r="AB494" s="25"/>
      <c r="AC494" s="25"/>
      <c r="AD494" s="25"/>
    </row>
    <row r="495" spans="1:30" ht="15" customHeight="1">
      <c r="A495" s="28">
        <v>654</v>
      </c>
      <c r="B495" s="22" t="str">
        <f>"г. Череповец, ул. Сталеваров, д. 68"</f>
        <v>г. Череповец, ул. Сталеваров, д. 68</v>
      </c>
      <c r="C495" s="14">
        <f t="shared" si="11"/>
        <v>6633520</v>
      </c>
      <c r="D495" s="24"/>
      <c r="E495" s="24">
        <f>2264*2930</f>
        <v>6633520</v>
      </c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5"/>
      <c r="AA495" s="25"/>
      <c r="AB495" s="25"/>
      <c r="AC495" s="25"/>
      <c r="AD495" s="25"/>
    </row>
    <row r="496" spans="1:30" ht="15" customHeight="1">
      <c r="A496" s="28">
        <v>655</v>
      </c>
      <c r="B496" s="22" t="str">
        <f>"г. Череповец, ул. Сталеваров, д. 76/9"</f>
        <v>г. Череповец, ул. Сталеваров, д. 76/9</v>
      </c>
      <c r="C496" s="14">
        <f t="shared" si="11"/>
        <v>5558720</v>
      </c>
      <c r="D496" s="24"/>
      <c r="E496" s="24"/>
      <c r="F496" s="24">
        <f>9280*599</f>
        <v>5558720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5"/>
      <c r="AA496" s="25"/>
      <c r="AB496" s="25"/>
      <c r="AC496" s="25"/>
      <c r="AD496" s="25"/>
    </row>
    <row r="497" spans="1:30" ht="15" customHeight="1">
      <c r="A497" s="28">
        <v>656</v>
      </c>
      <c r="B497" s="22" t="str">
        <f>"г. Череповец, ул. Тимохина, д. 18/32"</f>
        <v>г. Череповец, ул. Тимохина, д. 18/32</v>
      </c>
      <c r="C497" s="14">
        <f t="shared" si="11"/>
        <v>16999034.32</v>
      </c>
      <c r="D497" s="24"/>
      <c r="E497" s="24"/>
      <c r="F497" s="24"/>
      <c r="G497" s="24"/>
      <c r="H497" s="24"/>
      <c r="I497" s="24"/>
      <c r="J497" s="24">
        <v>4</v>
      </c>
      <c r="K497" s="24">
        <f>(4392756-142997.42)*4</f>
        <v>16999034.32</v>
      </c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5"/>
      <c r="AA497" s="25"/>
      <c r="AB497" s="25"/>
      <c r="AC497" s="25"/>
      <c r="AD497" s="25"/>
    </row>
    <row r="498" spans="1:30" ht="15" customHeight="1">
      <c r="A498" s="28">
        <v>657</v>
      </c>
      <c r="B498" s="22" t="str">
        <f>"г. Череповец, ул. Устюженская, д. 1"</f>
        <v>г. Череповец, ул. Устюженская, д. 1</v>
      </c>
      <c r="C498" s="14">
        <f t="shared" si="11"/>
        <v>3507840</v>
      </c>
      <c r="D498" s="24"/>
      <c r="E498" s="24"/>
      <c r="F498" s="24">
        <f>9280*378</f>
        <v>3507840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5"/>
      <c r="AA498" s="25"/>
      <c r="AB498" s="25"/>
      <c r="AC498" s="25"/>
      <c r="AD498" s="25"/>
    </row>
    <row r="499" spans="1:30" ht="15" customHeight="1">
      <c r="A499" s="28">
        <v>658</v>
      </c>
      <c r="B499" s="22" t="str">
        <f>"г. Череповец, ул. Устюженская, д. 10"</f>
        <v>г. Череповец, ул. Устюженская, д. 10</v>
      </c>
      <c r="C499" s="14">
        <f t="shared" si="11"/>
        <v>3442880</v>
      </c>
      <c r="D499" s="24"/>
      <c r="E499" s="24"/>
      <c r="F499" s="24">
        <f>9280*371</f>
        <v>3442880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5"/>
      <c r="AA499" s="25"/>
      <c r="AB499" s="25"/>
      <c r="AC499" s="25"/>
      <c r="AD499" s="25"/>
    </row>
    <row r="500" spans="1:30" ht="15" customHeight="1">
      <c r="A500" s="28">
        <v>659</v>
      </c>
      <c r="B500" s="22" t="str">
        <f>"г. Череповец, ул. Устюженская, д. 2"</f>
        <v>г. Череповец, ул. Устюженская, д. 2</v>
      </c>
      <c r="C500" s="14">
        <f t="shared" si="11"/>
        <v>2589120</v>
      </c>
      <c r="D500" s="24"/>
      <c r="E500" s="24"/>
      <c r="F500" s="24">
        <f>9280*279</f>
        <v>2589120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5"/>
      <c r="AA500" s="25"/>
      <c r="AB500" s="25"/>
      <c r="AC500" s="25"/>
      <c r="AD500" s="25"/>
    </row>
    <row r="501" spans="1:30" ht="15" customHeight="1">
      <c r="A501" s="28">
        <v>660</v>
      </c>
      <c r="B501" s="22" t="str">
        <f>"г. Череповец, ул. Устюженская, д. 26"</f>
        <v>г. Череповец, ул. Устюженская, д. 26</v>
      </c>
      <c r="C501" s="14">
        <f t="shared" si="11"/>
        <v>2826600</v>
      </c>
      <c r="D501" s="24">
        <f>4038*700</f>
        <v>2826600</v>
      </c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5"/>
      <c r="AA501" s="25"/>
      <c r="AB501" s="25"/>
      <c r="AC501" s="25"/>
      <c r="AD501" s="25"/>
    </row>
    <row r="502" spans="1:30" ht="15" customHeight="1">
      <c r="A502" s="28">
        <v>661</v>
      </c>
      <c r="B502" s="22" t="str">
        <f>"г. Череповец, ул. Устюженская, д. 3"</f>
        <v>г. Череповец, ул. Устюженская, д. 3</v>
      </c>
      <c r="C502" s="14">
        <f t="shared" si="11"/>
        <v>10233576</v>
      </c>
      <c r="D502" s="24"/>
      <c r="E502" s="24">
        <f>2264*2319</f>
        <v>5250216</v>
      </c>
      <c r="F502" s="24">
        <f>9280*537</f>
        <v>4983360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5"/>
      <c r="AA502" s="25"/>
      <c r="AB502" s="25"/>
      <c r="AC502" s="25"/>
      <c r="AD502" s="25"/>
    </row>
    <row r="503" spans="1:30" ht="15" customHeight="1">
      <c r="A503" s="28">
        <v>662</v>
      </c>
      <c r="B503" s="22" t="str">
        <f>"г. Череповец, ул. Устюженская, д. 4"</f>
        <v>г. Череповец, ул. Устюженская, д. 4</v>
      </c>
      <c r="C503" s="14">
        <f t="shared" si="11"/>
        <v>3654096</v>
      </c>
      <c r="D503" s="24"/>
      <c r="E503" s="24">
        <f>2264*1614</f>
        <v>3654096</v>
      </c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5"/>
      <c r="AA503" s="25"/>
      <c r="AB503" s="25"/>
      <c r="AC503" s="25"/>
      <c r="AD503" s="25"/>
    </row>
    <row r="504" spans="1:30" ht="15" customHeight="1">
      <c r="A504" s="28">
        <v>663</v>
      </c>
      <c r="B504" s="22" t="str">
        <f>"г. Череповец, ул. Устюженская, д. 6"</f>
        <v>г. Череповец, ул. Устюженская, д. 6</v>
      </c>
      <c r="C504" s="14">
        <f t="shared" si="11"/>
        <v>3717488</v>
      </c>
      <c r="D504" s="24"/>
      <c r="E504" s="24">
        <f>2264*1642</f>
        <v>3717488</v>
      </c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5"/>
      <c r="AA504" s="25"/>
      <c r="AB504" s="25"/>
      <c r="AC504" s="25"/>
      <c r="AD504" s="25"/>
    </row>
    <row r="505" spans="1:30" ht="15" customHeight="1">
      <c r="A505" s="28">
        <v>664</v>
      </c>
      <c r="B505" s="22" t="str">
        <f>"г. Череповец, ул. Устюженская, д. 8"</f>
        <v>г. Череповец, ул. Устюженская, д. 8</v>
      </c>
      <c r="C505" s="14">
        <f t="shared" si="11"/>
        <v>3016000</v>
      </c>
      <c r="D505" s="24"/>
      <c r="E505" s="24"/>
      <c r="F505" s="24">
        <f>9280*325</f>
        <v>3016000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5"/>
      <c r="AA505" s="25"/>
      <c r="AB505" s="25"/>
      <c r="AC505" s="25"/>
      <c r="AD505" s="25"/>
    </row>
    <row r="506" spans="1:30" ht="15" customHeight="1">
      <c r="A506" s="28">
        <v>665</v>
      </c>
      <c r="B506" s="22" t="str">
        <f>"г. Череповец, ул. Химиков, д. 24"</f>
        <v>г. Череповец, ул. Химиков, д. 24</v>
      </c>
      <c r="C506" s="14">
        <f t="shared" si="11"/>
        <v>1404669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>
        <f>1115908+288761*1</f>
        <v>1404669</v>
      </c>
      <c r="V506" s="24"/>
      <c r="W506" s="24"/>
      <c r="X506" s="24"/>
      <c r="Y506" s="24"/>
      <c r="Z506" s="25"/>
      <c r="AA506" s="25"/>
      <c r="AB506" s="25"/>
      <c r="AC506" s="25"/>
      <c r="AD506" s="25"/>
    </row>
    <row r="507" spans="1:30" ht="15" customHeight="1">
      <c r="A507" s="28">
        <v>666</v>
      </c>
      <c r="B507" s="22" t="str">
        <f>"г. Череповец, ул. Центральная, д. 11"</f>
        <v>г. Череповец, ул. Центральная, д. 11</v>
      </c>
      <c r="C507" s="14">
        <f t="shared" si="11"/>
        <v>387648</v>
      </c>
      <c r="D507" s="24">
        <f>4038*96</f>
        <v>387648</v>
      </c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5"/>
      <c r="AA507" s="25"/>
      <c r="AB507" s="25"/>
      <c r="AC507" s="25"/>
      <c r="AD507" s="25"/>
    </row>
    <row r="508" spans="1:30" ht="15" customHeight="1">
      <c r="A508" s="28">
        <v>667</v>
      </c>
      <c r="B508" s="22" t="str">
        <f>"г. Череповец, ул. Центральная, д. 13"</f>
        <v>г. Череповец, ул. Центральная, д. 13</v>
      </c>
      <c r="C508" s="14">
        <f t="shared" si="11"/>
        <v>4644739.2</v>
      </c>
      <c r="D508" s="24">
        <f>4038*130</f>
        <v>524940</v>
      </c>
      <c r="E508" s="24"/>
      <c r="F508" s="24"/>
      <c r="G508" s="24"/>
      <c r="H508" s="24"/>
      <c r="I508" s="24"/>
      <c r="J508" s="24"/>
      <c r="K508" s="24"/>
      <c r="L508" s="24">
        <v>828.6</v>
      </c>
      <c r="M508" s="24">
        <f>4972*828.6</f>
        <v>4119799.2</v>
      </c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5"/>
      <c r="AA508" s="25"/>
      <c r="AB508" s="25"/>
      <c r="AC508" s="25"/>
      <c r="AD508" s="25"/>
    </row>
    <row r="509" spans="1:30" ht="15" customHeight="1">
      <c r="A509" s="28">
        <v>668</v>
      </c>
      <c r="B509" s="22" t="str">
        <f>"г. Череповец, ул. Центральная, д. 17"</f>
        <v>г. Череповец, ул. Центральная, д. 17</v>
      </c>
      <c r="C509" s="14">
        <f t="shared" si="11"/>
        <v>4082012</v>
      </c>
      <c r="D509" s="24"/>
      <c r="E509" s="24"/>
      <c r="F509" s="24"/>
      <c r="G509" s="24"/>
      <c r="H509" s="24"/>
      <c r="I509" s="24"/>
      <c r="J509" s="24"/>
      <c r="K509" s="24"/>
      <c r="L509" s="24">
        <v>821</v>
      </c>
      <c r="M509" s="24">
        <f>4972*821</f>
        <v>4082012</v>
      </c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5"/>
      <c r="AA509" s="25"/>
      <c r="AB509" s="25"/>
      <c r="AC509" s="25"/>
      <c r="AD509" s="25"/>
    </row>
    <row r="510" spans="1:30" ht="15" customHeight="1">
      <c r="A510" s="28">
        <v>669</v>
      </c>
      <c r="B510" s="22" t="str">
        <f>"г. Череповец, ул. Центральная, д. 19"</f>
        <v>г. Череповец, ул. Центральная, д. 19</v>
      </c>
      <c r="C510" s="14">
        <f t="shared" si="11"/>
        <v>3432300</v>
      </c>
      <c r="D510" s="24">
        <f>850*4038</f>
        <v>3432300</v>
      </c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5"/>
      <c r="AA510" s="25"/>
      <c r="AB510" s="25"/>
      <c r="AC510" s="25"/>
      <c r="AD510" s="25"/>
    </row>
    <row r="511" spans="1:30" ht="15" customHeight="1">
      <c r="A511" s="28">
        <v>670</v>
      </c>
      <c r="B511" s="22" t="str">
        <f>"г. Череповец, ул. Центральная, д. 3"</f>
        <v>г. Череповец, ул. Центральная, д. 3</v>
      </c>
      <c r="C511" s="14">
        <f t="shared" si="11"/>
        <v>1801900</v>
      </c>
      <c r="D511" s="24">
        <f>250*4038</f>
        <v>1009500</v>
      </c>
      <c r="E511" s="24">
        <f>350*2264</f>
        <v>792400</v>
      </c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5"/>
      <c r="AA511" s="25"/>
      <c r="AB511" s="25"/>
      <c r="AC511" s="25"/>
      <c r="AD511" s="25"/>
    </row>
    <row r="512" spans="1:30" ht="15" customHeight="1">
      <c r="A512" s="28">
        <v>671</v>
      </c>
      <c r="B512" s="22" t="str">
        <f>"г. Череповец, ул. Центральная, д. 9"</f>
        <v>г. Череповец, ул. Центральная, д. 9</v>
      </c>
      <c r="C512" s="14">
        <f t="shared" si="11"/>
        <v>4248380</v>
      </c>
      <c r="D512" s="24"/>
      <c r="E512" s="24">
        <f>2264*460</f>
        <v>1041440</v>
      </c>
      <c r="F512" s="24"/>
      <c r="G512" s="24"/>
      <c r="H512" s="24"/>
      <c r="I512" s="24"/>
      <c r="J512" s="24"/>
      <c r="K512" s="24"/>
      <c r="L512" s="24">
        <v>645</v>
      </c>
      <c r="M512" s="24">
        <f>4972*645</f>
        <v>3206940</v>
      </c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5"/>
      <c r="AA512" s="25"/>
      <c r="AB512" s="25"/>
      <c r="AC512" s="25"/>
      <c r="AD512" s="25"/>
    </row>
    <row r="513" spans="1:30" ht="15" customHeight="1">
      <c r="A513" s="28">
        <v>672</v>
      </c>
      <c r="B513" s="22" t="str">
        <f>"г. Череповец, ул. Центральная, д. 9А"</f>
        <v>г. Череповец, ул. Центральная, д. 9А</v>
      </c>
      <c r="C513" s="14">
        <f t="shared" si="11"/>
        <v>4526500</v>
      </c>
      <c r="D513" s="24"/>
      <c r="E513" s="24"/>
      <c r="F513" s="24"/>
      <c r="G513" s="24">
        <f>650*1796</f>
        <v>1167400</v>
      </c>
      <c r="H513" s="24">
        <f>650*2104</f>
        <v>1367600</v>
      </c>
      <c r="I513" s="24">
        <f>700*2845</f>
        <v>1991500</v>
      </c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5"/>
      <c r="AA513" s="25"/>
      <c r="AB513" s="25"/>
      <c r="AC513" s="25"/>
      <c r="AD513" s="25"/>
    </row>
    <row r="514" spans="1:30" ht="15" customHeight="1">
      <c r="A514" s="28">
        <v>673</v>
      </c>
      <c r="B514" s="22" t="str">
        <f>"г. Череповец, ул. Чкалова, д. 10"</f>
        <v>г. Череповец, ул. Чкалова, д. 10</v>
      </c>
      <c r="C514" s="14">
        <f t="shared" si="11"/>
        <v>5576232</v>
      </c>
      <c r="D514" s="24"/>
      <c r="E514" s="24">
        <f>2264*2463</f>
        <v>5576232</v>
      </c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5"/>
      <c r="AA514" s="25"/>
      <c r="AB514" s="25"/>
      <c r="AC514" s="25"/>
      <c r="AD514" s="25"/>
    </row>
    <row r="515" spans="1:30" ht="15" customHeight="1">
      <c r="A515" s="28">
        <v>674</v>
      </c>
      <c r="B515" s="22" t="str">
        <f>"г. Череповец, ул. Чкалова, д. 14"</f>
        <v>г. Череповец, ул. Чкалова, д. 14</v>
      </c>
      <c r="C515" s="14">
        <f t="shared" si="11"/>
        <v>7268400</v>
      </c>
      <c r="D515" s="24">
        <f>4038*1800</f>
        <v>7268400</v>
      </c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5"/>
      <c r="AA515" s="25"/>
      <c r="AB515" s="25"/>
      <c r="AC515" s="25"/>
      <c r="AD515" s="25"/>
    </row>
    <row r="516" spans="1:30" ht="15" customHeight="1">
      <c r="A516" s="28">
        <v>675</v>
      </c>
      <c r="B516" s="22" t="str">
        <f>"г. Череповец, ул. Чкалова, д. 21"</f>
        <v>г. Череповец, ул. Чкалова, д. 21</v>
      </c>
      <c r="C516" s="14">
        <f t="shared" si="11"/>
        <v>4038000</v>
      </c>
      <c r="D516" s="24">
        <f>4038*1000</f>
        <v>4038000</v>
      </c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5"/>
      <c r="AA516" s="25"/>
      <c r="AB516" s="25"/>
      <c r="AC516" s="25"/>
      <c r="AD516" s="25"/>
    </row>
    <row r="517" spans="1:30" ht="15" customHeight="1">
      <c r="A517" s="28">
        <v>676</v>
      </c>
      <c r="B517" s="22" t="str">
        <f>"г. Череповец, ул. Чкалова, д. 23"</f>
        <v>г. Череповец, ул. Чкалова, д. 23</v>
      </c>
      <c r="C517" s="14">
        <f t="shared" si="11"/>
        <v>4061722</v>
      </c>
      <c r="D517" s="24"/>
      <c r="E517" s="24"/>
      <c r="F517" s="24"/>
      <c r="G517" s="24"/>
      <c r="H517" s="24"/>
      <c r="I517" s="24"/>
      <c r="J517" s="24"/>
      <c r="K517" s="24"/>
      <c r="L517" s="24">
        <v>520.4</v>
      </c>
      <c r="M517" s="24">
        <f>L517*7805</f>
        <v>4061722</v>
      </c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5"/>
      <c r="AA517" s="25"/>
      <c r="AB517" s="25"/>
      <c r="AC517" s="25"/>
      <c r="AD517" s="25"/>
    </row>
    <row r="518" spans="1:30" ht="15" customHeight="1">
      <c r="A518" s="28">
        <v>677</v>
      </c>
      <c r="B518" s="22" t="str">
        <f>"г. Череповец, ул. Чкалова, д. 24"</f>
        <v>г. Череповец, ул. Чкалова, д. 24</v>
      </c>
      <c r="C518" s="14">
        <f t="shared" si="11"/>
        <v>7268400</v>
      </c>
      <c r="D518" s="24">
        <f>4038*1800</f>
        <v>7268400</v>
      </c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5"/>
      <c r="AA518" s="25"/>
      <c r="AB518" s="25"/>
      <c r="AC518" s="25"/>
      <c r="AD518" s="25"/>
    </row>
    <row r="519" spans="1:30" ht="15" customHeight="1">
      <c r="A519" s="28">
        <v>678</v>
      </c>
      <c r="B519" s="22" t="str">
        <f>"г. Череповец, ул. Чкалова, д. 27"</f>
        <v>г. Череповец, ул. Чкалова, д. 27</v>
      </c>
      <c r="C519" s="14">
        <f t="shared" si="11"/>
        <v>1568952</v>
      </c>
      <c r="D519" s="24"/>
      <c r="E519" s="24">
        <f>2264*693</f>
        <v>1568952</v>
      </c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5"/>
      <c r="AA519" s="25"/>
      <c r="AB519" s="25"/>
      <c r="AC519" s="25"/>
      <c r="AD519" s="25"/>
    </row>
    <row r="520" spans="1:30" ht="15" customHeight="1">
      <c r="A520" s="28">
        <v>679</v>
      </c>
      <c r="B520" s="22" t="str">
        <f>"г. Череповец, ул. Юбилейная, д. 16"</f>
        <v>г. Череповец, ул. Юбилейная, д. 16</v>
      </c>
      <c r="C520" s="14">
        <f t="shared" si="11"/>
        <v>759136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>
        <f>759136</f>
        <v>759136</v>
      </c>
      <c r="Y520" s="24"/>
      <c r="Z520" s="25"/>
      <c r="AA520" s="25"/>
      <c r="AB520" s="25"/>
      <c r="AC520" s="25"/>
      <c r="AD520" s="25"/>
    </row>
    <row r="521" spans="1:30" ht="15" customHeight="1">
      <c r="A521" s="28">
        <v>680</v>
      </c>
      <c r="B521" s="22" t="str">
        <f>"г. Череповец, ул. Юбилейная, д. 20"</f>
        <v>г. Череповец, ул. Юбилейная, д. 20</v>
      </c>
      <c r="C521" s="14">
        <f t="shared" si="11"/>
        <v>288761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>
        <f>288761*1</f>
        <v>288761</v>
      </c>
      <c r="V521" s="24"/>
      <c r="W521" s="24"/>
      <c r="X521" s="24"/>
      <c r="Y521" s="24"/>
      <c r="Z521" s="25"/>
      <c r="AA521" s="25"/>
      <c r="AB521" s="25"/>
      <c r="AC521" s="25"/>
      <c r="AD521" s="25"/>
    </row>
    <row r="522" spans="1:30" ht="15" customHeight="1">
      <c r="A522" s="28">
        <v>681</v>
      </c>
      <c r="B522" s="22" t="str">
        <f>"г. Череповец, ул. Юбилейная, д. 33"</f>
        <v>г. Череповец, ул. Юбилейная, д. 33</v>
      </c>
      <c r="C522" s="14">
        <f t="shared" si="11"/>
        <v>288761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>
        <f>288761*1</f>
        <v>288761</v>
      </c>
      <c r="V522" s="24"/>
      <c r="W522" s="24"/>
      <c r="X522" s="24"/>
      <c r="Y522" s="24"/>
      <c r="Z522" s="25"/>
      <c r="AA522" s="25"/>
      <c r="AB522" s="25"/>
      <c r="AC522" s="25"/>
      <c r="AD522" s="25"/>
    </row>
    <row r="523" spans="1:30" ht="15" customHeight="1">
      <c r="A523" s="28">
        <v>682</v>
      </c>
      <c r="B523" s="22" t="s">
        <v>36</v>
      </c>
      <c r="C523" s="14">
        <f t="shared" si="11"/>
        <v>8585500</v>
      </c>
      <c r="D523" s="24"/>
      <c r="E523" s="24"/>
      <c r="F523" s="24"/>
      <c r="G523" s="24"/>
      <c r="H523" s="24"/>
      <c r="I523" s="24"/>
      <c r="J523" s="24"/>
      <c r="K523" s="24"/>
      <c r="L523" s="24">
        <v>1100</v>
      </c>
      <c r="M523" s="24">
        <f>7805*L523</f>
        <v>8585500</v>
      </c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5"/>
      <c r="AA523" s="25"/>
      <c r="AB523" s="25"/>
      <c r="AC523" s="25"/>
      <c r="AD523" s="25"/>
    </row>
  </sheetData>
  <sheetProtection/>
  <mergeCells count="18">
    <mergeCell ref="L5:M6"/>
    <mergeCell ref="B9:Y9"/>
    <mergeCell ref="T5:X5"/>
    <mergeCell ref="B4:B7"/>
    <mergeCell ref="D4:S4"/>
    <mergeCell ref="T4:AD4"/>
    <mergeCell ref="Y5:AC5"/>
    <mergeCell ref="AD5:AD6"/>
    <mergeCell ref="A331:X331"/>
    <mergeCell ref="A119:AD119"/>
    <mergeCell ref="A2:Y2"/>
    <mergeCell ref="A4:A7"/>
    <mergeCell ref="N5:O6"/>
    <mergeCell ref="P5:Q6"/>
    <mergeCell ref="C4:C6"/>
    <mergeCell ref="J5:K6"/>
    <mergeCell ref="D5:I5"/>
    <mergeCell ref="R5:S6"/>
  </mergeCells>
  <printOptions/>
  <pageMargins left="0.1968503937007874" right="0.15748031496062992" top="0.7480314960629921" bottom="0.7480314960629921" header="0.31496062992125984" footer="0.31496062992125984"/>
  <pageSetup firstPageNumber="30" useFirstPageNumber="1" fitToHeight="100" horizontalDpi="600" verticalDpi="600" orientation="landscape" paperSize="9" scale="60" r:id="rId1"/>
  <headerFooter>
    <oddHeader>&amp;C&amp;"Times New Roman,обычный"&amp;P</oddHeader>
    <firstHeader>&amp;C44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Изварин Антон</dc:creator>
  <cp:keywords/>
  <dc:description/>
  <cp:lastModifiedBy>Наумова Елена Владимировна</cp:lastModifiedBy>
  <cp:lastPrinted>2016-10-25T05:56:20Z</cp:lastPrinted>
  <dcterms:created xsi:type="dcterms:W3CDTF">2014-09-23T10:34:47Z</dcterms:created>
  <dcterms:modified xsi:type="dcterms:W3CDTF">2016-11-01T12:42:23Z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1606061823</vt:i4>
  </property>
  <property fmtid="{D5CDD505-2E9C-101B-9397-08002B2CF9AE}" pid="4" name="_NewReviewCyc">
    <vt:lpwstr/>
  </property>
  <property fmtid="{D5CDD505-2E9C-101B-9397-08002B2CF9AE}" pid="5" name="_EmailSubje">
    <vt:lpwstr>о размещении во вкладке кап.ремонт</vt:lpwstr>
  </property>
  <property fmtid="{D5CDD505-2E9C-101B-9397-08002B2CF9AE}" pid="6" name="_AuthorEma">
    <vt:lpwstr>evgeneva.mp@cherepovetscity.ru</vt:lpwstr>
  </property>
  <property fmtid="{D5CDD505-2E9C-101B-9397-08002B2CF9AE}" pid="7" name="_AuthorEmailDisplayNa">
    <vt:lpwstr>Евгеньева Мария Павловна</vt:lpwstr>
  </property>
  <property fmtid="{D5CDD505-2E9C-101B-9397-08002B2CF9AE}" pid="8" name="_PreviousAdHocReviewCycle">
    <vt:i4>-1610760058</vt:i4>
  </property>
</Properties>
</file>